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218"/>
  </bookViews>
  <sheets>
    <sheet name="Sheet1" sheetId="1" r:id="rId1"/>
  </sheets>
  <definedNames>
    <definedName name="_xlnm._FilterDatabase" localSheetId="0" hidden="1">Sheet1!$A$3:$AQ$114</definedName>
    <definedName name="_xlnm.Print_Titles" localSheetId="0">Sheet1!$3:$3</definedName>
  </definedNames>
  <calcPr calcId="144525" fullPrecision="0"/>
</workbook>
</file>

<file path=xl/sharedStrings.xml><?xml version="1.0" encoding="utf-8"?>
<sst xmlns="http://schemas.openxmlformats.org/spreadsheetml/2006/main" count="1154" uniqueCount="627">
  <si>
    <t>原曲仁矿棚户区改造安置房房款及税费计算表</t>
  </si>
  <si>
    <t>矿区：六矿红尾坑</t>
  </si>
  <si>
    <t>公示时间：2022.11.16-11.23</t>
  </si>
  <si>
    <t>编号</t>
  </si>
  <si>
    <t>序号</t>
  </si>
  <si>
    <t>安置人姓名</t>
  </si>
  <si>
    <t>身份证号码</t>
  </si>
  <si>
    <t>户主身份</t>
  </si>
  <si>
    <t>安置类型</t>
  </si>
  <si>
    <t>分户或合并人对象</t>
  </si>
  <si>
    <t>证载人姓名</t>
  </si>
  <si>
    <t>证件类型</t>
  </si>
  <si>
    <t>旧房证件编号</t>
  </si>
  <si>
    <t>旧房证载面积</t>
  </si>
  <si>
    <t>柴房证载面积</t>
  </si>
  <si>
    <t>柴房换算面积</t>
  </si>
  <si>
    <t>应安置面积</t>
  </si>
  <si>
    <t>房改住房公摊面积</t>
  </si>
  <si>
    <t>原房改房总价</t>
  </si>
  <si>
    <t>柴房房改款</t>
  </si>
  <si>
    <t>原房改住房单价</t>
  </si>
  <si>
    <t>柴房补偿方式</t>
  </si>
  <si>
    <t>安置房房号</t>
  </si>
  <si>
    <t>抽签房号</t>
  </si>
  <si>
    <t>新房建筑面积</t>
  </si>
  <si>
    <t>减免公摊面积</t>
  </si>
  <si>
    <t>新房计算面积</t>
  </si>
  <si>
    <t>原房改房应交公摊面积款</t>
  </si>
  <si>
    <t>旧房不足55应交款</t>
  </si>
  <si>
    <t>应补土地出让金</t>
  </si>
  <si>
    <t>职工类保底面积部分房款</t>
  </si>
  <si>
    <t>非职工类保底面积部分房款</t>
  </si>
  <si>
    <t>限价房款(2629-2800)</t>
  </si>
  <si>
    <t>超面积部分房款(1500元/㎡)</t>
  </si>
  <si>
    <t>超面积部分房款(2800/㎡元)</t>
  </si>
  <si>
    <t>超面积部分房款(3400元/㎡)</t>
  </si>
  <si>
    <t>建筑误差部分房款</t>
  </si>
  <si>
    <t>合并优惠房款</t>
  </si>
  <si>
    <t>应缴房款合计</t>
  </si>
  <si>
    <t>契税</t>
  </si>
  <si>
    <t>物业维修资金</t>
  </si>
  <si>
    <t>燃气费</t>
  </si>
  <si>
    <t>费用合计</t>
  </si>
  <si>
    <t>柴房补偿款</t>
  </si>
  <si>
    <t>旧房大于新房面积补偿款</t>
  </si>
  <si>
    <t>备注</t>
  </si>
  <si>
    <t>011014304</t>
  </si>
  <si>
    <t>钟秋莲</t>
  </si>
  <si>
    <t>44020319640922216x</t>
  </si>
  <si>
    <t>职工</t>
  </si>
  <si>
    <t>原户主</t>
  </si>
  <si>
    <t>产权证</t>
  </si>
  <si>
    <t>1847679</t>
  </si>
  <si>
    <t>六福居14幢304</t>
  </si>
  <si>
    <t>原报证件有误，重新计算。原公示房款52260元,20年1月已交房款，需退款3581元</t>
  </si>
  <si>
    <t>010015302</t>
  </si>
  <si>
    <t>谢明利</t>
  </si>
  <si>
    <t>440203195804102112</t>
  </si>
  <si>
    <t>1847317</t>
  </si>
  <si>
    <t>货币补偿</t>
  </si>
  <si>
    <t>社主轩15幢302</t>
  </si>
  <si>
    <t>原报证件有误，重新计算。原公示房款84700元，未缴款。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</si>
  <si>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10001301</t>
    </r>
  </si>
  <si>
    <t>谭燕英</t>
  </si>
  <si>
    <t>440203194004032123</t>
  </si>
  <si>
    <t>谢修志</t>
  </si>
  <si>
    <t>1847447
1847448</t>
  </si>
  <si>
    <t xml:space="preserve">社主轩1幢301 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</si>
  <si>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10002406</t>
    </r>
  </si>
  <si>
    <t>温彩云</t>
  </si>
  <si>
    <t>440203195401012112</t>
  </si>
  <si>
    <t>1847628
1847625</t>
  </si>
  <si>
    <t xml:space="preserve">社主轩2幢406 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</si>
  <si>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10002502</t>
    </r>
  </si>
  <si>
    <t>吴志勇</t>
  </si>
  <si>
    <t>440203197810162233</t>
  </si>
  <si>
    <t>居民</t>
  </si>
  <si>
    <t>0100049897
0100049895</t>
  </si>
  <si>
    <t xml:space="preserve">社主轩2幢502 </t>
  </si>
  <si>
    <t>买卖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</si>
  <si>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10004301</t>
    </r>
  </si>
  <si>
    <t>刘自城</t>
  </si>
  <si>
    <t>440203197801052139</t>
  </si>
  <si>
    <t>0100041632
0100028839</t>
  </si>
  <si>
    <t xml:space="preserve">社主轩4幢301 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</si>
  <si>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10004306</t>
    </r>
  </si>
  <si>
    <t>陈松</t>
  </si>
  <si>
    <t>440203195509302111</t>
  </si>
  <si>
    <t>1830443
1830444</t>
  </si>
  <si>
    <t xml:space="preserve">社主轩4幢306 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</si>
  <si>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10004404</t>
    </r>
  </si>
  <si>
    <t>李颖</t>
  </si>
  <si>
    <t>440203199007012147</t>
  </si>
  <si>
    <t>0100035225
1847408</t>
  </si>
  <si>
    <t xml:space="preserve">社主轩4幢404 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</si>
  <si>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10004406</t>
    </r>
  </si>
  <si>
    <t>戴惠波</t>
  </si>
  <si>
    <t>441481198509273597</t>
  </si>
  <si>
    <t>0050400
1847488</t>
  </si>
  <si>
    <t xml:space="preserve">社主轩4幢406 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</si>
  <si>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10005603</t>
    </r>
  </si>
  <si>
    <t>江伟英</t>
  </si>
  <si>
    <t>440221196807086522</t>
  </si>
  <si>
    <t>外来人员</t>
  </si>
  <si>
    <t>C5606469
1830434</t>
  </si>
  <si>
    <t xml:space="preserve">社主轩5幢603 </t>
  </si>
  <si>
    <t>010006101</t>
  </si>
  <si>
    <t>何益中</t>
  </si>
  <si>
    <t>44020319491201211X</t>
  </si>
  <si>
    <t>合并</t>
  </si>
  <si>
    <t>何慧玲  茹生秀</t>
  </si>
  <si>
    <t>1830440
1830439</t>
  </si>
  <si>
    <t xml:space="preserve">社主轩6幢101 </t>
  </si>
  <si>
    <t>010006301</t>
  </si>
  <si>
    <t>李乐生</t>
  </si>
  <si>
    <t>440203195101082135</t>
  </si>
  <si>
    <t>1830429
1830430</t>
  </si>
  <si>
    <t xml:space="preserve">社主轩6幢301 </t>
  </si>
  <si>
    <t>010006501</t>
  </si>
  <si>
    <t>黄建平</t>
  </si>
  <si>
    <t>440203195711012118</t>
  </si>
  <si>
    <t>7011393
7011477</t>
  </si>
  <si>
    <t xml:space="preserve">社主轩6幢501 </t>
  </si>
  <si>
    <t>010008201</t>
  </si>
  <si>
    <t>廖月华</t>
  </si>
  <si>
    <t>440203193609072123</t>
  </si>
  <si>
    <t>1830447
1830448</t>
  </si>
  <si>
    <t xml:space="preserve">社主轩8幢201 </t>
  </si>
  <si>
    <t>010008501</t>
  </si>
  <si>
    <t>刘玉东</t>
  </si>
  <si>
    <t>440203197303122114</t>
  </si>
  <si>
    <t>职工家属(配偶)</t>
  </si>
  <si>
    <t>刘德</t>
  </si>
  <si>
    <t>1847631
1847630</t>
  </si>
  <si>
    <t xml:space="preserve">社主轩8幢501 </t>
  </si>
  <si>
    <t>010009201</t>
  </si>
  <si>
    <t>麦海洪</t>
  </si>
  <si>
    <t>440203195205242113</t>
  </si>
  <si>
    <t>1830597
1830596</t>
  </si>
  <si>
    <t xml:space="preserve">社主轩9幢201 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</si>
  <si>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10010101</t>
    </r>
  </si>
  <si>
    <t>肖  瑞</t>
  </si>
  <si>
    <t>440203193709092113</t>
  </si>
  <si>
    <t>肖瑞</t>
  </si>
  <si>
    <t>1800256
1800257</t>
  </si>
  <si>
    <t xml:space="preserve">社主轩10幢101 </t>
  </si>
  <si>
    <t>010010104</t>
  </si>
  <si>
    <t>李其炎</t>
  </si>
  <si>
    <t>440203196111122115</t>
  </si>
  <si>
    <t>1847455
1847455</t>
  </si>
  <si>
    <t xml:space="preserve">社主轩10幢104 </t>
  </si>
  <si>
    <t>010010201</t>
  </si>
  <si>
    <t>熊善庭</t>
  </si>
  <si>
    <t>440203193410062112</t>
  </si>
  <si>
    <t>1847432
1847433</t>
  </si>
  <si>
    <t xml:space="preserve">社主轩10幢201 </t>
  </si>
  <si>
    <t>010010204</t>
  </si>
  <si>
    <t>赵荣久</t>
  </si>
  <si>
    <t>440203193107102118</t>
  </si>
  <si>
    <t>1830416
1830415</t>
  </si>
  <si>
    <t xml:space="preserve">社主轩10幢204 </t>
  </si>
  <si>
    <t>010010402</t>
  </si>
  <si>
    <t>朱秀凤</t>
  </si>
  <si>
    <t>440203195207062124</t>
  </si>
  <si>
    <t>刘玉玲  潘定义</t>
  </si>
  <si>
    <t>1847624
1847632</t>
  </si>
  <si>
    <t xml:space="preserve">社主轩10幢402 </t>
  </si>
  <si>
    <t>010010404</t>
  </si>
  <si>
    <t>谢炳辉</t>
  </si>
  <si>
    <t>440203196211222156</t>
  </si>
  <si>
    <t>1830505
1830506</t>
  </si>
  <si>
    <t xml:space="preserve">社主轩10幢404 </t>
  </si>
  <si>
    <t>010010502</t>
  </si>
  <si>
    <t>曹伟珍</t>
  </si>
  <si>
    <t>44020319790619212X</t>
  </si>
  <si>
    <t>c5605474
c5606475</t>
  </si>
  <si>
    <t xml:space="preserve">社主轩10幢502 </t>
  </si>
  <si>
    <t>010010601</t>
  </si>
  <si>
    <t>陈树彬</t>
  </si>
  <si>
    <t>440203194301012137</t>
  </si>
  <si>
    <t>1800277
1800271</t>
  </si>
  <si>
    <t xml:space="preserve">社主轩10幢601 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</si>
  <si>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10010603</t>
    </r>
  </si>
  <si>
    <t>黄文彬</t>
  </si>
  <si>
    <t>440203199306262138</t>
  </si>
  <si>
    <t>肖俊平</t>
  </si>
  <si>
    <t>1847428
1847429</t>
  </si>
  <si>
    <t xml:space="preserve">社主轩10幢603 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</si>
  <si>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10012501</t>
    </r>
  </si>
  <si>
    <t>李贱古</t>
  </si>
  <si>
    <t>440203194506072117</t>
  </si>
  <si>
    <t>1800254
1800253</t>
  </si>
  <si>
    <t xml:space="preserve">社主轩12幢501 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</si>
  <si>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10013504</t>
    </r>
  </si>
  <si>
    <t>李静萍</t>
  </si>
  <si>
    <t>0048315
0051334</t>
  </si>
  <si>
    <t xml:space="preserve">社主轩13幢504 </t>
  </si>
  <si>
    <t>010014301</t>
  </si>
  <si>
    <t>陈永定</t>
  </si>
  <si>
    <t>440203194303242112</t>
  </si>
  <si>
    <t>1830431
1830432</t>
  </si>
  <si>
    <t xml:space="preserve">社主轩14幢301 </t>
  </si>
  <si>
    <t>010014401</t>
  </si>
  <si>
    <t>夏绍术</t>
  </si>
  <si>
    <t>440203194104302119</t>
  </si>
  <si>
    <t>1830590
1830591</t>
  </si>
  <si>
    <t xml:space="preserve">社主轩14幢401 </t>
  </si>
  <si>
    <t>010014403</t>
  </si>
  <si>
    <t>杨勤端</t>
  </si>
  <si>
    <t>440203195507012110</t>
  </si>
  <si>
    <t>杨楷亮  陈小英</t>
  </si>
  <si>
    <t>1830599
1830598</t>
  </si>
  <si>
    <t xml:space="preserve">社主轩14幢403 </t>
  </si>
  <si>
    <t>010014404</t>
  </si>
  <si>
    <t>顾金明</t>
  </si>
  <si>
    <t>440203195910122117</t>
  </si>
  <si>
    <t>1830592
1830593</t>
  </si>
  <si>
    <t xml:space="preserve">社主轩14幢404 </t>
  </si>
  <si>
    <t>010014503</t>
  </si>
  <si>
    <t>曾招华</t>
  </si>
  <si>
    <t>440203195108012113</t>
  </si>
  <si>
    <t>曾宪春  王莉丽</t>
  </si>
  <si>
    <t>1847452
1847467</t>
  </si>
  <si>
    <t xml:space="preserve">社主轩14幢503 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</si>
  <si>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10014601</t>
    </r>
  </si>
  <si>
    <t>肖文光</t>
  </si>
  <si>
    <t>440203197212302152</t>
  </si>
  <si>
    <t>肖辉</t>
  </si>
  <si>
    <t>1847443
1847444</t>
  </si>
  <si>
    <t xml:space="preserve">社主轩14幢601 </t>
  </si>
  <si>
    <t>010015202</t>
  </si>
  <si>
    <t>吴小恒</t>
  </si>
  <si>
    <t>440203195307102111</t>
  </si>
  <si>
    <t>1830413
1830414</t>
  </si>
  <si>
    <t xml:space="preserve">社主轩15幢202 </t>
  </si>
  <si>
    <t>010015301</t>
  </si>
  <si>
    <t>张新平</t>
  </si>
  <si>
    <t>440203195112042112</t>
  </si>
  <si>
    <t>1800294
1800295</t>
  </si>
  <si>
    <t xml:space="preserve">社主轩15幢301 </t>
  </si>
  <si>
    <t>010015303</t>
  </si>
  <si>
    <t>顾甲有</t>
  </si>
  <si>
    <t>440203196310062119</t>
  </si>
  <si>
    <t>1847409
1847410</t>
  </si>
  <si>
    <t>社主轩15幢303</t>
  </si>
  <si>
    <t>010015304</t>
  </si>
  <si>
    <t>赵才森</t>
  </si>
  <si>
    <t>440203194304152119</t>
  </si>
  <si>
    <t>1847303
1847304</t>
  </si>
  <si>
    <t>6.77</t>
  </si>
  <si>
    <t xml:space="preserve">社主轩15幢304 </t>
  </si>
  <si>
    <t>010015404</t>
  </si>
  <si>
    <t>曾广泰</t>
  </si>
  <si>
    <t>440203193704102116</t>
  </si>
  <si>
    <t>1847593
1847594</t>
  </si>
  <si>
    <t xml:space="preserve">社主轩15幢404 </t>
  </si>
  <si>
    <t>010015604</t>
  </si>
  <si>
    <t>潘均昌</t>
  </si>
  <si>
    <t>440203194803015315</t>
  </si>
  <si>
    <t>1847329
1847330</t>
  </si>
  <si>
    <t xml:space="preserve">社主轩15幢604 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</si>
  <si>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10016101</t>
    </r>
  </si>
  <si>
    <t>马玉兰</t>
  </si>
  <si>
    <t>441900193407181524</t>
  </si>
  <si>
    <t>1847439
1847440</t>
  </si>
  <si>
    <t xml:space="preserve">社主轩16幢101 </t>
  </si>
  <si>
    <t>010016102</t>
  </si>
  <si>
    <t>董文基</t>
  </si>
  <si>
    <t>440203195306192119</t>
  </si>
  <si>
    <t>董春花  谢文严</t>
  </si>
  <si>
    <t>1800292
2884748</t>
  </si>
  <si>
    <t xml:space="preserve">社主轩16幢102 </t>
  </si>
  <si>
    <t>010016104</t>
  </si>
  <si>
    <t>戴思光</t>
  </si>
  <si>
    <t>440203194902082130</t>
  </si>
  <si>
    <t>1847640
1847641</t>
  </si>
  <si>
    <t xml:space="preserve">社主轩16幢104 </t>
  </si>
  <si>
    <t>010016204</t>
  </si>
  <si>
    <t>李友碧</t>
  </si>
  <si>
    <t>440203195503302129</t>
  </si>
  <si>
    <t>肖建华  朱晓兰</t>
  </si>
  <si>
    <t>1830507
1830508</t>
  </si>
  <si>
    <t xml:space="preserve">社主轩16幢204 </t>
  </si>
  <si>
    <t>010016401</t>
  </si>
  <si>
    <t>谢光裕</t>
  </si>
  <si>
    <t>44020319581108213X</t>
  </si>
  <si>
    <t>1847633
1847634</t>
  </si>
  <si>
    <t>85.31</t>
  </si>
  <si>
    <t xml:space="preserve">社主轩16幢401 </t>
  </si>
  <si>
    <t>010016403</t>
  </si>
  <si>
    <t>叶 雄</t>
  </si>
  <si>
    <t>440203195602282119</t>
  </si>
  <si>
    <t>叶虹  乔健</t>
  </si>
  <si>
    <t>1800290
1800291</t>
  </si>
  <si>
    <t xml:space="preserve">社主轩16幢403 </t>
  </si>
  <si>
    <t>010016501</t>
  </si>
  <si>
    <t>黄育辉</t>
  </si>
  <si>
    <t>440203196402042115</t>
  </si>
  <si>
    <t>1847457
1847456</t>
  </si>
  <si>
    <t xml:space="preserve">社主轩16幢501 </t>
  </si>
  <si>
    <t>010016502</t>
  </si>
  <si>
    <t>黄森荣</t>
  </si>
  <si>
    <t>44020319471008211X</t>
  </si>
  <si>
    <t>1847485
1847486</t>
  </si>
  <si>
    <t xml:space="preserve">社主轩16幢502 </t>
  </si>
  <si>
    <t>010016503</t>
  </si>
  <si>
    <t>陈水生</t>
  </si>
  <si>
    <t>440203195101132112</t>
  </si>
  <si>
    <t>陈伟坚  梁秋蓉</t>
  </si>
  <si>
    <t>1847491
1847492</t>
  </si>
  <si>
    <t xml:space="preserve">社主轩16幢503 </t>
  </si>
  <si>
    <t>010016504</t>
  </si>
  <si>
    <t>陈东权</t>
  </si>
  <si>
    <t>440203195309182119</t>
  </si>
  <si>
    <t>1847327
1847328</t>
  </si>
  <si>
    <t xml:space="preserve">社主轩16幢504 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</si>
  <si>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10016604</t>
    </r>
  </si>
  <si>
    <t>朱华莹</t>
  </si>
  <si>
    <t>440203198907022127</t>
  </si>
  <si>
    <t>1847422
1847423</t>
  </si>
  <si>
    <t xml:space="preserve">社主轩16幢604 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</si>
  <si>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10017201</t>
    </r>
  </si>
  <si>
    <t>陈月坤</t>
  </si>
  <si>
    <t>440203193801152123</t>
  </si>
  <si>
    <t>1830564
1830549</t>
  </si>
  <si>
    <t xml:space="preserve">社主轩17幢201 </t>
  </si>
  <si>
    <t>010017305</t>
  </si>
  <si>
    <t>朱焕逍</t>
  </si>
  <si>
    <t>440203192910112118</t>
  </si>
  <si>
    <t>1830409
1830410</t>
  </si>
  <si>
    <t xml:space="preserve">社主轩17幢305 </t>
  </si>
  <si>
    <t>010017401</t>
  </si>
  <si>
    <t>杨富彬</t>
  </si>
  <si>
    <t>440203195308102113</t>
  </si>
  <si>
    <t>0100037406
1830446</t>
  </si>
  <si>
    <t xml:space="preserve">社主轩17幢401 </t>
  </si>
  <si>
    <t>010017402</t>
  </si>
  <si>
    <t>林壁辉</t>
  </si>
  <si>
    <t>440203195005082119</t>
  </si>
  <si>
    <t>1930411
1830412</t>
  </si>
  <si>
    <t xml:space="preserve">社主轩17幢402 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</si>
  <si>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10017601</t>
    </r>
  </si>
  <si>
    <t>韩新环</t>
  </si>
  <si>
    <t>440203195007162112</t>
  </si>
  <si>
    <t>1847497
1847498</t>
  </si>
  <si>
    <t xml:space="preserve">社主轩17幢601 </t>
  </si>
  <si>
    <t>010018404</t>
  </si>
  <si>
    <t>沈相松</t>
  </si>
  <si>
    <t>440203194412152116</t>
  </si>
  <si>
    <t>1830589
1830512</t>
  </si>
  <si>
    <t xml:space="preserve">社主轩18幢404 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</si>
  <si>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10018604</t>
    </r>
  </si>
  <si>
    <t>陈贞祥</t>
  </si>
  <si>
    <t>440203194712122138</t>
  </si>
  <si>
    <t>1847434
1847435</t>
  </si>
  <si>
    <t xml:space="preserve">社主轩18幢604 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</si>
  <si>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11004302</t>
    </r>
  </si>
  <si>
    <t>易伏秀</t>
  </si>
  <si>
    <t xml:space="preserve">44022119541106164X </t>
  </si>
  <si>
    <t>1847430
1847431</t>
  </si>
  <si>
    <t xml:space="preserve">六福居4幢302 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</si>
  <si>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11005302</t>
    </r>
  </si>
  <si>
    <t>黄财旺</t>
  </si>
  <si>
    <t>440204194004223313</t>
  </si>
  <si>
    <t>1847441
1847442</t>
  </si>
  <si>
    <t xml:space="preserve">六福居5幢302 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</si>
  <si>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11006202</t>
    </r>
  </si>
  <si>
    <t>廖永秀</t>
  </si>
  <si>
    <t>440203194809102125</t>
  </si>
  <si>
    <t>钟佑贵</t>
  </si>
  <si>
    <t>1830401
1830402</t>
  </si>
  <si>
    <t xml:space="preserve">六福居6幢202 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</si>
  <si>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11006203</t>
    </r>
  </si>
  <si>
    <t>邓茂林</t>
  </si>
  <si>
    <t>440203194606252115</t>
  </si>
  <si>
    <t>1847331
1847332</t>
  </si>
  <si>
    <t xml:space="preserve">六福居6幢203 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</si>
  <si>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11006401</t>
    </r>
  </si>
  <si>
    <t>廖亚秋</t>
  </si>
  <si>
    <t>440203194704062120</t>
  </si>
  <si>
    <t>罗石崇</t>
  </si>
  <si>
    <t>1847635
1847636</t>
  </si>
  <si>
    <t xml:space="preserve">六福居6幢401 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</si>
  <si>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11006503</t>
    </r>
  </si>
  <si>
    <t>钟登耀</t>
  </si>
  <si>
    <t>440203197706192117</t>
  </si>
  <si>
    <t>0100173830
0100173646</t>
  </si>
  <si>
    <t xml:space="preserve">六福居6幢503 </t>
  </si>
  <si>
    <t>011007101</t>
  </si>
  <si>
    <t>侯永基</t>
  </si>
  <si>
    <t>440203194201012113</t>
  </si>
  <si>
    <t>1830491
1830492</t>
  </si>
  <si>
    <t xml:space="preserve">六福居7幢101 </t>
  </si>
  <si>
    <t>011007201</t>
  </si>
  <si>
    <t>曾裕祥</t>
  </si>
  <si>
    <t>440203195207042414</t>
  </si>
  <si>
    <t>1830419
1830420</t>
  </si>
  <si>
    <t xml:space="preserve">六福居7幢201 </t>
  </si>
  <si>
    <t>011007301</t>
  </si>
  <si>
    <t>王宪恩</t>
  </si>
  <si>
    <t>440203195006072115</t>
  </si>
  <si>
    <t>1830423
1830424</t>
  </si>
  <si>
    <t>六福居7幢301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</si>
  <si>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11007401</t>
    </r>
  </si>
  <si>
    <t>解本福</t>
  </si>
  <si>
    <t>440203195905032117</t>
  </si>
  <si>
    <t>1830524
1830556</t>
  </si>
  <si>
    <t xml:space="preserve">六福居7幢401 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</si>
  <si>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11008102</t>
    </r>
  </si>
  <si>
    <t>罗道金</t>
  </si>
  <si>
    <t>440203194903032119</t>
  </si>
  <si>
    <t>1830554
1830522</t>
  </si>
  <si>
    <t xml:space="preserve">六福居8幢102 </t>
  </si>
  <si>
    <t>011008203</t>
  </si>
  <si>
    <t>曾  英</t>
  </si>
  <si>
    <t>440203194412012113</t>
  </si>
  <si>
    <t>合并2</t>
  </si>
  <si>
    <t>曾伟贺  曾细周</t>
  </si>
  <si>
    <t>1830489
1830490</t>
  </si>
  <si>
    <t xml:space="preserve">六福居8幢203 </t>
  </si>
  <si>
    <t>011008204</t>
  </si>
  <si>
    <t>李维柱</t>
  </si>
  <si>
    <t>440203193402282115</t>
  </si>
  <si>
    <t>1847603
1847604</t>
  </si>
  <si>
    <t xml:space="preserve">六福居8幢204 </t>
  </si>
  <si>
    <t>011008401</t>
  </si>
  <si>
    <t>钟立廷</t>
  </si>
  <si>
    <t>440203195303152111</t>
  </si>
  <si>
    <t>1847548
1847549</t>
  </si>
  <si>
    <t xml:space="preserve">六福居8幢401 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</si>
  <si>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11008403</t>
    </r>
  </si>
  <si>
    <t>李秋妹</t>
  </si>
  <si>
    <r>
      <rPr>
        <sz val="11"/>
        <rFont val="宋体"/>
        <charset val="134"/>
      </rPr>
      <t>4</t>
    </r>
    <r>
      <rPr>
        <sz val="11"/>
        <rFont val="宋体"/>
        <charset val="134"/>
      </rPr>
      <t>40203197406282129</t>
    </r>
  </si>
  <si>
    <t>朱才</t>
  </si>
  <si>
    <t>1830550
1830565</t>
  </si>
  <si>
    <t xml:space="preserve">六福居8幢403 </t>
  </si>
  <si>
    <t>011008502</t>
  </si>
  <si>
    <t>邹林招</t>
  </si>
  <si>
    <t>440203194109302118</t>
  </si>
  <si>
    <t>1847591
1847592</t>
  </si>
  <si>
    <t>81.34</t>
  </si>
  <si>
    <t>六福居8幢502</t>
  </si>
  <si>
    <t>011008503</t>
  </si>
  <si>
    <t>孙学民</t>
  </si>
  <si>
    <t>440203197106092112</t>
  </si>
  <si>
    <t>0100041958
0100041957</t>
  </si>
  <si>
    <t xml:space="preserve">六福居8幢503 </t>
  </si>
  <si>
    <t>011008604</t>
  </si>
  <si>
    <t>曾康仕</t>
  </si>
  <si>
    <t>440203195008102111</t>
  </si>
  <si>
    <t>1830449
1830450</t>
  </si>
  <si>
    <t xml:space="preserve">六福居8幢604 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</si>
  <si>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11010201</t>
    </r>
  </si>
  <si>
    <t>徐建雄</t>
  </si>
  <si>
    <t>44020419651225473X</t>
  </si>
  <si>
    <t>1830562
1830530</t>
  </si>
  <si>
    <t xml:space="preserve">六福居10幢201 </t>
  </si>
  <si>
    <t>继承</t>
  </si>
  <si>
    <t>011010501</t>
  </si>
  <si>
    <t>温天福</t>
  </si>
  <si>
    <t>402203194809282111</t>
  </si>
  <si>
    <t>温新莲  黄坤洪</t>
  </si>
  <si>
    <t>1830495
1830496</t>
  </si>
  <si>
    <t>六福居10幢501</t>
  </si>
  <si>
    <t>011010502</t>
  </si>
  <si>
    <t>潘啟福</t>
  </si>
  <si>
    <t>440203194403112112</t>
  </si>
  <si>
    <t>1847425
1847427</t>
  </si>
  <si>
    <t xml:space="preserve">六福居10幢502 </t>
  </si>
  <si>
    <t>011010601</t>
  </si>
  <si>
    <t>赖凤英</t>
  </si>
  <si>
    <t>440203195910202205</t>
  </si>
  <si>
    <t>1830509
1830510</t>
  </si>
  <si>
    <t xml:space="preserve">六福居10幢601 </t>
  </si>
  <si>
    <t>011011102</t>
  </si>
  <si>
    <t>宋捷兴</t>
  </si>
  <si>
    <t>440203194912092113</t>
  </si>
  <si>
    <t>1830427
1830428</t>
  </si>
  <si>
    <t>六福居11幢102</t>
  </si>
  <si>
    <t>011011203</t>
  </si>
  <si>
    <t>林文华</t>
  </si>
  <si>
    <t>44020319550727214X</t>
  </si>
  <si>
    <t>李林源</t>
  </si>
  <si>
    <t>1830499
1830500</t>
  </si>
  <si>
    <t>六福居11幢203</t>
  </si>
  <si>
    <t>011011304</t>
  </si>
  <si>
    <t>黄珍</t>
  </si>
  <si>
    <t>440204193810113624</t>
  </si>
  <si>
    <t>陈为</t>
  </si>
  <si>
    <t>1847445
1847446</t>
  </si>
  <si>
    <t xml:space="preserve">六福居11幢304 </t>
  </si>
  <si>
    <t>011012401</t>
  </si>
  <si>
    <t>植暄淇</t>
  </si>
  <si>
    <t>440203198108312128</t>
  </si>
  <si>
    <t>植高林</t>
  </si>
  <si>
    <t>0100049282
0100048284
1830504</t>
  </si>
  <si>
    <t xml:space="preserve">六福居13幢401 </t>
  </si>
  <si>
    <t>011013101</t>
  </si>
  <si>
    <t>刘国安</t>
  </si>
  <si>
    <t>440203194710062119</t>
  </si>
  <si>
    <t>刘考英  刘新兵</t>
  </si>
  <si>
    <t>1800288
1800295</t>
  </si>
  <si>
    <t xml:space="preserve">六福居13幢101 </t>
  </si>
  <si>
    <t>011013201</t>
  </si>
  <si>
    <t>何秀英</t>
  </si>
  <si>
    <t>44020319380820212X</t>
  </si>
  <si>
    <t>1847361
1847362</t>
  </si>
  <si>
    <t xml:space="preserve">六福居13幢201 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</si>
  <si>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11014401</t>
    </r>
  </si>
  <si>
    <t>李其勋</t>
  </si>
  <si>
    <t>440203196110242115</t>
  </si>
  <si>
    <t>1830555
1830523</t>
  </si>
  <si>
    <t xml:space="preserve">六福居14幢401 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</si>
  <si>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11014506</t>
    </r>
  </si>
  <si>
    <t>梁建锋</t>
  </si>
  <si>
    <t>440203197807202214</t>
  </si>
  <si>
    <t>0100170733
0100170743</t>
  </si>
  <si>
    <t xml:space="preserve">六福居14幢506 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</si>
  <si>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11014602</t>
    </r>
  </si>
  <si>
    <t>赖葵辉</t>
  </si>
  <si>
    <t>7440203195306082112</t>
  </si>
  <si>
    <t>1847471
1847484</t>
  </si>
  <si>
    <t xml:space="preserve">六福居14幢602 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</si>
  <si>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11014603</t>
    </r>
  </si>
  <si>
    <t>陈锡南</t>
  </si>
  <si>
    <t>440203195511112114</t>
  </si>
  <si>
    <t>1830403
1830404</t>
  </si>
  <si>
    <t xml:space="preserve">六福居14幢603 </t>
  </si>
  <si>
    <t>010001501</t>
  </si>
  <si>
    <t>陈志明</t>
  </si>
  <si>
    <t>440203195102072115</t>
  </si>
  <si>
    <t>1800276
1800275</t>
  </si>
  <si>
    <t>面积置换</t>
  </si>
  <si>
    <t xml:space="preserve">社主轩1幢501 </t>
  </si>
  <si>
    <t>010006302</t>
  </si>
  <si>
    <t>李新贵</t>
  </si>
  <si>
    <t>440203194106072118</t>
  </si>
  <si>
    <t>1847453
1847468</t>
  </si>
  <si>
    <t xml:space="preserve">社主轩6幢302 </t>
  </si>
  <si>
    <t>010006601</t>
  </si>
  <si>
    <t>林锡锋</t>
  </si>
  <si>
    <t>440203196506032114</t>
  </si>
  <si>
    <t>1830441
1830442</t>
  </si>
  <si>
    <t xml:space="preserve">社主轩6幢601 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</si>
  <si>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10014203</t>
    </r>
  </si>
  <si>
    <t>黎国强</t>
  </si>
  <si>
    <t>440203196208122111</t>
  </si>
  <si>
    <t>1847605
1847606</t>
  </si>
  <si>
    <t xml:space="preserve">社主轩14幢203 </t>
  </si>
  <si>
    <t>010014501</t>
  </si>
  <si>
    <t>苏焕然</t>
  </si>
  <si>
    <t>440203194711262112</t>
  </si>
  <si>
    <t>1847333
1847334</t>
  </si>
  <si>
    <t xml:space="preserve">社主轩14幢501 </t>
  </si>
  <si>
    <t>010015104</t>
  </si>
  <si>
    <t>罗志雄</t>
  </si>
  <si>
    <t>440203195704222117</t>
  </si>
  <si>
    <t>1847308
1847307</t>
  </si>
  <si>
    <t xml:space="preserve">社主轩15幢104 </t>
  </si>
  <si>
    <t>010015503</t>
  </si>
  <si>
    <t>蔡良第</t>
  </si>
  <si>
    <t>44020319380827211X</t>
  </si>
  <si>
    <t>1847584
1847585</t>
  </si>
  <si>
    <t xml:space="preserve">社主轩15幢503 </t>
  </si>
  <si>
    <t>010017306</t>
  </si>
  <si>
    <t>张练生</t>
  </si>
  <si>
    <t>440203195811262114</t>
  </si>
  <si>
    <t>1847638
1847639</t>
  </si>
  <si>
    <t xml:space="preserve">社主轩17幢306 </t>
  </si>
  <si>
    <t>010018201</t>
  </si>
  <si>
    <t>唐东初</t>
  </si>
  <si>
    <t>440203196208012115</t>
  </si>
  <si>
    <t>1830436
1830435</t>
  </si>
  <si>
    <t xml:space="preserve">社主轩18幢201 </t>
  </si>
  <si>
    <t>010018501</t>
  </si>
  <si>
    <t>陈永红</t>
  </si>
  <si>
    <t>440203196703042127</t>
  </si>
  <si>
    <t>1830421
1830422</t>
  </si>
  <si>
    <t xml:space="preserve">社主轩18幢501 </t>
  </si>
  <si>
    <t>011007502</t>
  </si>
  <si>
    <t>刘 伟</t>
  </si>
  <si>
    <t>441481198710253918</t>
  </si>
  <si>
    <t>0100049621
0100049619</t>
  </si>
  <si>
    <t>六福居7幢502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</si>
  <si>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11008404</t>
    </r>
  </si>
  <si>
    <t>陈志敏</t>
  </si>
  <si>
    <t>441624197908150443</t>
  </si>
  <si>
    <t>陈石海</t>
  </si>
  <si>
    <t>1847400
1800255</t>
  </si>
  <si>
    <t xml:space="preserve">六福居8幢404 </t>
  </si>
  <si>
    <t>011008601</t>
  </si>
  <si>
    <t>温则香</t>
  </si>
  <si>
    <t>440203195412272139</t>
  </si>
  <si>
    <t>1847601
1847602</t>
  </si>
  <si>
    <t>六福居8幢601</t>
  </si>
  <si>
    <t>011008603</t>
  </si>
  <si>
    <t>杨木钦</t>
  </si>
  <si>
    <t>440203195803292110</t>
  </si>
  <si>
    <t>1847493
1847494</t>
  </si>
  <si>
    <t xml:space="preserve">六福居8幢603 </t>
  </si>
  <si>
    <t>011010202</t>
  </si>
  <si>
    <t>植爵明</t>
  </si>
  <si>
    <t>440203194312152119</t>
  </si>
  <si>
    <t>1847348
1847349</t>
  </si>
  <si>
    <t>六福居10幢202</t>
  </si>
  <si>
    <t>011011303</t>
  </si>
  <si>
    <t>温乃福</t>
  </si>
  <si>
    <t>440203194208012116</t>
  </si>
  <si>
    <t>1847372
1847373</t>
  </si>
  <si>
    <t>六福居11幢303</t>
  </si>
  <si>
    <t>011013402</t>
  </si>
  <si>
    <t>曾伟海</t>
  </si>
  <si>
    <t>440203198003112111</t>
  </si>
  <si>
    <t>c5576262
c5576261</t>
  </si>
  <si>
    <t xml:space="preserve">六福居13幢402 </t>
  </si>
  <si>
    <t>邓凤英</t>
  </si>
  <si>
    <t>分户</t>
  </si>
  <si>
    <t>社主轩12幢206</t>
  </si>
  <si>
    <t>张方围</t>
  </si>
  <si>
    <t>张名浪  李小坤</t>
  </si>
  <si>
    <t>1847646</t>
  </si>
  <si>
    <t>社主轩5幢101</t>
  </si>
  <si>
    <t>李祥海</t>
  </si>
  <si>
    <t>李朝东  董细妹</t>
  </si>
  <si>
    <t>社主轩17幢204</t>
  </si>
  <si>
    <t>注：1、房款最终以实际提交的产权证为准。</t>
  </si>
  <si>
    <t xml:space="preserve">
2、契税最终以税局调查后征收额为准。</t>
  </si>
</sst>
</file>

<file path=xl/styles.xml><?xml version="1.0" encoding="utf-8"?>
<styleSheet xmlns="http://schemas.openxmlformats.org/spreadsheetml/2006/main">
  <numFmts count="6">
    <numFmt numFmtId="176" formatCode="0.00_ "/>
    <numFmt numFmtId="42" formatCode="_ &quot;￥&quot;* #,##0_ ;_ &quot;￥&quot;* \-#,##0_ ;_ &quot;￥&quot;* &quot;-&quot;_ ;_ @_ "/>
    <numFmt numFmtId="177" formatCode="0.00_);[Red]\(0.00\)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b/>
      <sz val="20"/>
      <color indexed="8"/>
      <name val="宋体"/>
      <charset val="134"/>
    </font>
    <font>
      <sz val="14"/>
      <color indexed="8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rgb="FF333333"/>
      <name val="宋体"/>
      <charset val="134"/>
    </font>
    <font>
      <sz val="14"/>
      <color rgb="FF000000"/>
      <name val="宋体"/>
      <charset val="134"/>
    </font>
    <font>
      <sz val="12"/>
      <name val="宋体"/>
      <charset val="134"/>
    </font>
    <font>
      <b/>
      <sz val="24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0" fontId="14" fillId="26" borderId="0" applyNumberFormat="false" applyBorder="false" applyAlignment="false" applyProtection="false">
      <alignment vertical="center"/>
    </xf>
    <xf numFmtId="0" fontId="13" fillId="34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4" fillId="18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10" fillId="0" borderId="0"/>
    <xf numFmtId="0" fontId="14" fillId="24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5" fillId="32" borderId="11" applyNumberFormat="false" applyAlignment="false" applyProtection="false">
      <alignment vertical="center"/>
    </xf>
    <xf numFmtId="0" fontId="27" fillId="0" borderId="10" applyNumberFormat="false" applyFill="false" applyAlignment="false" applyProtection="false">
      <alignment vertical="center"/>
    </xf>
    <xf numFmtId="0" fontId="29" fillId="35" borderId="9" applyNumberForma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31" fillId="28" borderId="12" applyNumberFormat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3" fillId="3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28" borderId="9" applyNumberFormat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0" fillId="14" borderId="7" applyNumberFormat="false" applyFont="false" applyAlignment="false" applyProtection="false">
      <alignment vertical="center"/>
    </xf>
    <xf numFmtId="0" fontId="23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</cellStyleXfs>
  <cellXfs count="78">
    <xf numFmtId="0" fontId="0" fillId="0" borderId="0" xfId="0">
      <alignment vertical="center"/>
    </xf>
    <xf numFmtId="0" fontId="0" fillId="0" borderId="0" xfId="0" applyFont="true" applyFill="true" applyAlignment="true">
      <alignment horizontal="center" vertical="center"/>
    </xf>
    <xf numFmtId="0" fontId="0" fillId="0" borderId="0" xfId="0" applyFill="true" applyAlignment="true">
      <alignment horizontal="center" vertical="center"/>
    </xf>
    <xf numFmtId="0" fontId="0" fillId="0" borderId="0" xfId="0" applyFont="true" applyFill="true" applyAlignment="true">
      <alignment horizontal="center" vertical="center" wrapText="true"/>
    </xf>
    <xf numFmtId="49" fontId="0" fillId="0" borderId="0" xfId="0" applyNumberFormat="true" applyFill="true" applyAlignment="true">
      <alignment vertical="center"/>
    </xf>
    <xf numFmtId="0" fontId="0" fillId="0" borderId="0" xfId="0" applyFill="true" applyAlignment="true">
      <alignment vertical="center"/>
    </xf>
    <xf numFmtId="0" fontId="0" fillId="0" borderId="0" xfId="0" applyFill="true" applyAlignment="true">
      <alignment horizontal="left" vertical="center" wrapText="true"/>
    </xf>
    <xf numFmtId="0" fontId="0" fillId="0" borderId="0" xfId="0" applyFill="true" applyAlignment="true">
      <alignment vertical="center" wrapText="true"/>
    </xf>
    <xf numFmtId="0" fontId="0" fillId="0" borderId="0" xfId="0" applyNumberFormat="true" applyFill="true" applyAlignment="true">
      <alignment vertical="center"/>
    </xf>
    <xf numFmtId="176" fontId="0" fillId="0" borderId="0" xfId="0" applyNumberFormat="true" applyFill="true" applyAlignment="true">
      <alignment vertical="center"/>
    </xf>
    <xf numFmtId="0" fontId="1" fillId="0" borderId="0" xfId="0" applyFont="true" applyFill="true" applyAlignment="true">
      <alignment vertical="center"/>
    </xf>
    <xf numFmtId="49" fontId="2" fillId="0" borderId="0" xfId="0" applyNumberFormat="true" applyFont="true" applyFill="true" applyAlignment="true">
      <alignment vertical="center"/>
    </xf>
    <xf numFmtId="0" fontId="2" fillId="0" borderId="0" xfId="0" applyFont="true" applyFill="true" applyAlignment="true">
      <alignment vertical="center"/>
    </xf>
    <xf numFmtId="49" fontId="3" fillId="0" borderId="1" xfId="0" applyNumberFormat="true" applyFont="true" applyFill="true" applyBorder="true" applyAlignment="true">
      <alignment horizontal="center" vertical="center"/>
    </xf>
    <xf numFmtId="49" fontId="3" fillId="2" borderId="1" xfId="0" applyNumberFormat="true" applyFont="true" applyFill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/>
    </xf>
    <xf numFmtId="49" fontId="0" fillId="0" borderId="2" xfId="0" applyNumberFormat="true" applyFont="true" applyFill="true" applyBorder="true" applyAlignment="true">
      <alignment horizontal="center" vertical="center"/>
    </xf>
    <xf numFmtId="0" fontId="4" fillId="0" borderId="2" xfId="5" applyNumberFormat="true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49" fontId="5" fillId="0" borderId="2" xfId="0" applyNumberFormat="true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49" fontId="6" fillId="0" borderId="2" xfId="0" applyNumberFormat="true" applyFont="true" applyFill="true" applyBorder="true" applyAlignment="true">
      <alignment horizontal="center" vertical="center" wrapText="true"/>
    </xf>
    <xf numFmtId="49" fontId="4" fillId="0" borderId="2" xfId="5" applyNumberFormat="true" applyFont="true" applyFill="true" applyBorder="true" applyAlignment="true">
      <alignment horizontal="center" vertical="center"/>
    </xf>
    <xf numFmtId="49" fontId="3" fillId="0" borderId="2" xfId="0" applyNumberFormat="true" applyFont="true" applyFill="true" applyBorder="true" applyAlignment="true">
      <alignment horizontal="center" vertical="center"/>
    </xf>
    <xf numFmtId="49" fontId="0" fillId="0" borderId="2" xfId="0" applyNumberFormat="true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/>
    </xf>
    <xf numFmtId="0" fontId="0" fillId="0" borderId="2" xfId="0" applyFill="true" applyBorder="true" applyAlignment="true">
      <alignment horizontal="center" vertical="center"/>
    </xf>
    <xf numFmtId="0" fontId="0" fillId="0" borderId="2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/>
    </xf>
    <xf numFmtId="0" fontId="8" fillId="0" borderId="2" xfId="0" applyFont="true" applyFill="true" applyBorder="true" applyAlignment="true">
      <alignment horizontal="center" vertical="center" wrapText="true"/>
    </xf>
    <xf numFmtId="0" fontId="9" fillId="0" borderId="0" xfId="0" applyFont="true" applyFill="true" applyAlignment="true">
      <alignment vertical="center"/>
    </xf>
    <xf numFmtId="0" fontId="5" fillId="2" borderId="3" xfId="0" applyFont="true" applyFill="true" applyBorder="true" applyAlignment="true">
      <alignment horizontal="center" vertical="center" wrapText="true"/>
    </xf>
    <xf numFmtId="49" fontId="5" fillId="0" borderId="2" xfId="5" applyNumberFormat="true" applyFont="true" applyFill="true" applyBorder="true" applyAlignment="true">
      <alignment horizontal="center" vertical="center" wrapText="true"/>
    </xf>
    <xf numFmtId="0" fontId="5" fillId="0" borderId="2" xfId="0" applyNumberFormat="true" applyFont="true" applyFill="true" applyBorder="true" applyAlignment="true">
      <alignment horizontal="center" vertical="center" wrapText="true"/>
    </xf>
    <xf numFmtId="49" fontId="7" fillId="0" borderId="2" xfId="0" applyNumberFormat="true" applyFont="true" applyFill="true" applyBorder="true" applyAlignment="true">
      <alignment horizontal="center" vertical="center" wrapText="true"/>
    </xf>
    <xf numFmtId="49" fontId="6" fillId="0" borderId="2" xfId="5" applyNumberFormat="true" applyFont="true" applyFill="true" applyBorder="true" applyAlignment="true">
      <alignment horizontal="center" vertical="center" wrapText="true"/>
    </xf>
    <xf numFmtId="0" fontId="10" fillId="0" borderId="2" xfId="0" applyNumberFormat="true" applyFont="true" applyFill="true" applyBorder="true" applyAlignment="true" applyProtection="true">
      <alignment horizontal="center" vertical="center" wrapText="true"/>
    </xf>
    <xf numFmtId="0" fontId="2" fillId="0" borderId="0" xfId="0" applyFont="true" applyFill="true" applyAlignment="true">
      <alignment horizontal="center" vertical="center"/>
    </xf>
    <xf numFmtId="0" fontId="5" fillId="2" borderId="2" xfId="0" applyFont="true" applyFill="true" applyBorder="true" applyAlignment="true">
      <alignment horizontal="center" vertical="center" wrapText="true"/>
    </xf>
    <xf numFmtId="0" fontId="4" fillId="2" borderId="4" xfId="0" applyFont="true" applyFill="true" applyBorder="true" applyAlignment="true">
      <alignment horizontal="center" vertical="center" wrapText="true"/>
    </xf>
    <xf numFmtId="176" fontId="0" fillId="0" borderId="2" xfId="0" applyNumberFormat="true" applyFont="true" applyFill="true" applyBorder="true" applyAlignment="true">
      <alignment horizontal="center" vertical="center" wrapText="true"/>
    </xf>
    <xf numFmtId="176" fontId="7" fillId="0" borderId="2" xfId="0" applyNumberFormat="true" applyFont="true" applyFill="true" applyBorder="true" applyAlignment="true">
      <alignment horizontal="center" vertical="center"/>
    </xf>
    <xf numFmtId="0" fontId="11" fillId="0" borderId="0" xfId="0" applyFont="true" applyFill="true" applyAlignment="true">
      <alignment vertical="center"/>
    </xf>
    <xf numFmtId="0" fontId="2" fillId="0" borderId="0" xfId="0" applyFont="true" applyFill="true" applyAlignment="true">
      <alignment horizontal="left" vertical="center" wrapText="true"/>
    </xf>
    <xf numFmtId="0" fontId="12" fillId="2" borderId="1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left" vertical="center"/>
    </xf>
    <xf numFmtId="0" fontId="2" fillId="0" borderId="0" xfId="0" applyFont="true" applyFill="true" applyAlignment="true">
      <alignment vertical="center" wrapText="true"/>
    </xf>
    <xf numFmtId="0" fontId="0" fillId="0" borderId="2" xfId="0" applyFill="true" applyBorder="true" applyAlignment="true">
      <alignment horizontal="center" vertical="center" wrapText="true"/>
    </xf>
    <xf numFmtId="176" fontId="5" fillId="0" borderId="2" xfId="0" applyNumberFormat="true" applyFont="true" applyFill="true" applyBorder="true" applyAlignment="true">
      <alignment horizontal="center" vertical="center" wrapText="true"/>
    </xf>
    <xf numFmtId="0" fontId="0" fillId="0" borderId="2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176" fontId="6" fillId="3" borderId="2" xfId="0" applyNumberFormat="true" applyFont="true" applyFill="true" applyBorder="true" applyAlignment="true">
      <alignment horizontal="center" vertical="center" wrapText="true"/>
    </xf>
    <xf numFmtId="0" fontId="0" fillId="3" borderId="2" xfId="0" applyFill="true" applyBorder="true" applyAlignment="true">
      <alignment horizontal="center" vertical="center"/>
    </xf>
    <xf numFmtId="0" fontId="1" fillId="0" borderId="0" xfId="0" applyNumberFormat="true" applyFont="true" applyFill="true" applyAlignment="true">
      <alignment vertical="center"/>
    </xf>
    <xf numFmtId="0" fontId="2" fillId="0" borderId="0" xfId="0" applyNumberFormat="true" applyFont="true" applyFill="true" applyAlignment="true">
      <alignment vertical="center"/>
    </xf>
    <xf numFmtId="0" fontId="3" fillId="2" borderId="1" xfId="0" applyFont="true" applyFill="true" applyBorder="true" applyAlignment="true">
      <alignment horizontal="center" vertical="center" wrapText="true"/>
    </xf>
    <xf numFmtId="0" fontId="4" fillId="2" borderId="1" xfId="0" applyNumberFormat="true" applyFont="true" applyFill="true" applyBorder="true" applyAlignment="true">
      <alignment horizontal="center" vertical="center" wrapText="true"/>
    </xf>
    <xf numFmtId="2" fontId="6" fillId="0" borderId="2" xfId="0" applyNumberFormat="true" applyFont="true" applyFill="true" applyBorder="true" applyAlignment="true">
      <alignment horizontal="center" vertical="center" wrapText="true"/>
    </xf>
    <xf numFmtId="0" fontId="6" fillId="0" borderId="2" xfId="0" applyNumberFormat="true" applyFont="true" applyFill="true" applyBorder="true" applyAlignment="true">
      <alignment horizontal="center" vertical="center" wrapText="true"/>
    </xf>
    <xf numFmtId="176" fontId="1" fillId="0" borderId="0" xfId="0" applyNumberFormat="true" applyFont="true" applyFill="true" applyAlignment="true">
      <alignment vertical="center"/>
    </xf>
    <xf numFmtId="176" fontId="2" fillId="0" borderId="0" xfId="0" applyNumberFormat="true" applyFont="true" applyFill="true" applyAlignment="true">
      <alignment vertical="center"/>
    </xf>
    <xf numFmtId="176" fontId="4" fillId="2" borderId="1" xfId="0" applyNumberFormat="true" applyFont="true" applyFill="true" applyBorder="true" applyAlignment="true">
      <alignment horizontal="center" vertical="center" wrapText="true"/>
    </xf>
    <xf numFmtId="176" fontId="6" fillId="0" borderId="2" xfId="0" applyNumberFormat="true" applyFont="true" applyFill="true" applyBorder="true" applyAlignment="true">
      <alignment horizontal="center" vertical="center" wrapText="true"/>
    </xf>
    <xf numFmtId="177" fontId="4" fillId="0" borderId="2" xfId="0" applyNumberFormat="true" applyFont="true" applyFill="true" applyBorder="true" applyAlignment="true">
      <alignment horizontal="center" vertical="center" wrapText="true"/>
    </xf>
    <xf numFmtId="0" fontId="10" fillId="0" borderId="2" xfId="0" applyNumberFormat="true" applyFont="true" applyFill="true" applyBorder="true" applyAlignment="true" applyProtection="true">
      <alignment horizontal="center" vertical="center"/>
    </xf>
    <xf numFmtId="49" fontId="0" fillId="4" borderId="2" xfId="0" applyNumberFormat="true" applyFont="true" applyFill="true" applyBorder="true" applyAlignment="true">
      <alignment horizontal="center" vertical="center"/>
    </xf>
    <xf numFmtId="0" fontId="5" fillId="4" borderId="2" xfId="0" applyFont="true" applyFill="true" applyBorder="true" applyAlignment="true">
      <alignment horizontal="center" vertical="center" wrapText="true"/>
    </xf>
    <xf numFmtId="49" fontId="5" fillId="4" borderId="2" xfId="0" applyNumberFormat="true" applyFont="true" applyFill="true" applyBorder="true" applyAlignment="true">
      <alignment horizontal="center" vertical="center" wrapText="true"/>
    </xf>
    <xf numFmtId="176" fontId="0" fillId="0" borderId="2" xfId="0" applyNumberFormat="true" applyFill="true" applyBorder="true" applyAlignment="true">
      <alignment horizontal="center" vertical="center" wrapText="true"/>
    </xf>
    <xf numFmtId="0" fontId="0" fillId="4" borderId="2" xfId="0" applyFill="true" applyBorder="true" applyAlignment="true">
      <alignment horizontal="center" vertical="center"/>
    </xf>
    <xf numFmtId="49" fontId="5" fillId="4" borderId="2" xfId="5" applyNumberFormat="true" applyFont="true" applyFill="true" applyBorder="true" applyAlignment="true">
      <alignment horizontal="center" vertical="center" wrapText="true"/>
    </xf>
    <xf numFmtId="0" fontId="5" fillId="4" borderId="2" xfId="0" applyNumberFormat="true" applyFont="true" applyFill="true" applyBorder="true" applyAlignment="true">
      <alignment horizontal="center" vertical="center" wrapText="true"/>
    </xf>
    <xf numFmtId="0" fontId="7" fillId="4" borderId="2" xfId="0" applyFont="true" applyFill="true" applyBorder="true" applyAlignment="true">
      <alignment horizontal="center" vertical="center"/>
    </xf>
    <xf numFmtId="0" fontId="0" fillId="0" borderId="2" xfId="0" applyBorder="true" applyAlignment="true">
      <alignment horizontal="center" vertical="center"/>
    </xf>
    <xf numFmtId="0" fontId="7" fillId="4" borderId="2" xfId="0" applyFont="true" applyFill="true" applyBorder="true" applyAlignment="true">
      <alignment horizontal="left" vertical="center"/>
    </xf>
    <xf numFmtId="0" fontId="0" fillId="4" borderId="2" xfId="0" applyFill="true" applyBorder="true" applyAlignment="true">
      <alignment horizontal="center" vertical="center" wrapText="true"/>
    </xf>
  </cellXfs>
  <cellStyles count="52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常规 10" xfId="6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常规 2" xfId="11"/>
    <cellStyle name="60% - 强调文字颜色 5" xfId="12" builtinId="48"/>
    <cellStyle name="40% - 强调文字颜色 2" xfId="13" builtinId="35"/>
    <cellStyle name="40% - 强调文字颜色 5" xfId="14" builtinId="47"/>
    <cellStyle name="20% - 强调文字颜色 2" xfId="15" builtinId="34"/>
    <cellStyle name="标题" xfId="16" builtinId="15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40% - 强调文字颜色 4" xfId="40" builtinId="43"/>
    <cellStyle name="20% - 强调文字颜色 1" xfId="41" builtinId="30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Q114"/>
  <sheetViews>
    <sheetView tabSelected="1" zoomScale="90" zoomScaleNormal="90" workbookViewId="0">
      <pane xSplit="1" ySplit="3" topLeftCell="D4" activePane="bottomRight" state="frozen"/>
      <selection/>
      <selection pane="topRight"/>
      <selection pane="bottomLeft"/>
      <selection pane="bottomRight" activeCell="M118" sqref="M118"/>
    </sheetView>
  </sheetViews>
  <sheetFormatPr defaultColWidth="9" defaultRowHeight="13.5"/>
  <cols>
    <col min="1" max="1" width="10" style="4" hidden="true" customWidth="true"/>
    <col min="2" max="2" width="4.5" style="4" customWidth="true"/>
    <col min="3" max="3" width="7.25" style="5" customWidth="true"/>
    <col min="4" max="4" width="9.75" style="5" hidden="true" customWidth="true"/>
    <col min="5" max="5" width="6.25" style="5" customWidth="true"/>
    <col min="6" max="6" width="7" style="5" customWidth="true"/>
    <col min="7" max="7" width="7.375" style="5" customWidth="true"/>
    <col min="8" max="9" width="7.125" style="5" customWidth="true"/>
    <col min="10" max="10" width="11" style="5" customWidth="true"/>
    <col min="11" max="13" width="6.5" style="5" customWidth="true"/>
    <col min="14" max="14" width="7.75" style="5" customWidth="true"/>
    <col min="15" max="15" width="7.125" style="5" customWidth="true"/>
    <col min="16" max="16" width="9.5" style="2" customWidth="true"/>
    <col min="17" max="17" width="8.375" style="2" customWidth="true"/>
    <col min="18" max="18" width="11.5" style="5" customWidth="true"/>
    <col min="19" max="19" width="5.25" style="5" customWidth="true"/>
    <col min="20" max="20" width="14.625" style="6" customWidth="true"/>
    <col min="21" max="21" width="4.375" style="7" hidden="true" customWidth="true"/>
    <col min="22" max="22" width="7" style="5" customWidth="true"/>
    <col min="23" max="23" width="6.5" style="5" customWidth="true"/>
    <col min="24" max="24" width="7.125" style="5" customWidth="true"/>
    <col min="25" max="25" width="8.625" style="5" customWidth="true"/>
    <col min="26" max="26" width="6.75" style="5" customWidth="true"/>
    <col min="27" max="27" width="8.75" style="5" customWidth="true"/>
    <col min="28" max="28" width="8.375" style="5" customWidth="true"/>
    <col min="29" max="29" width="8.125" style="5" customWidth="true"/>
    <col min="30" max="30" width="10.125" style="5" customWidth="true"/>
    <col min="31" max="31" width="8.125" style="5" customWidth="true"/>
    <col min="32" max="32" width="8" style="5" customWidth="true"/>
    <col min="33" max="33" width="7.375" style="5" customWidth="true"/>
    <col min="34" max="34" width="6.5" style="5" customWidth="true"/>
    <col min="35" max="35" width="6.25" style="5" customWidth="true"/>
    <col min="36" max="36" width="12.125" style="5" customWidth="true"/>
    <col min="37" max="37" width="8.25" style="5" customWidth="true"/>
    <col min="38" max="38" width="9.375" style="5" customWidth="true"/>
    <col min="39" max="39" width="5.875" style="8" customWidth="true"/>
    <col min="40" max="40" width="11.875" style="5" customWidth="true"/>
    <col min="41" max="41" width="11.75" style="9" customWidth="true"/>
    <col min="42" max="42" width="8.5" style="5" customWidth="true"/>
    <col min="43" max="43" width="14.625" style="7" customWidth="true"/>
    <col min="44" max="16384" width="9" style="5"/>
  </cols>
  <sheetData>
    <row r="1" ht="30" spans="2:43">
      <c r="B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R1" s="44" t="s">
        <v>0</v>
      </c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55"/>
      <c r="AN1" s="10"/>
      <c r="AO1" s="61"/>
      <c r="AP1" s="10"/>
      <c r="AQ1" s="10"/>
    </row>
    <row r="2" ht="18" spans="3:43">
      <c r="C2" s="11" t="s">
        <v>1</v>
      </c>
      <c r="D2" s="12"/>
      <c r="F2" s="12"/>
      <c r="H2" s="12"/>
      <c r="I2" s="12"/>
      <c r="J2" s="32" t="s">
        <v>2</v>
      </c>
      <c r="K2" s="12"/>
      <c r="L2" s="12"/>
      <c r="M2" s="12"/>
      <c r="N2" s="12"/>
      <c r="O2" s="12"/>
      <c r="P2" s="39"/>
      <c r="Q2" s="39"/>
      <c r="R2" s="12"/>
      <c r="S2" s="12"/>
      <c r="T2" s="45"/>
      <c r="U2" s="48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56"/>
      <c r="AN2" s="12"/>
      <c r="AO2" s="62"/>
      <c r="AP2" s="12"/>
      <c r="AQ2" s="48"/>
    </row>
    <row r="3" s="1" customFormat="true" ht="54" spans="1:43">
      <c r="A3" s="13" t="s">
        <v>3</v>
      </c>
      <c r="B3" s="14" t="s">
        <v>4</v>
      </c>
      <c r="C3" s="15" t="s">
        <v>5</v>
      </c>
      <c r="D3" s="16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5" t="s">
        <v>12</v>
      </c>
      <c r="K3" s="15" t="s">
        <v>13</v>
      </c>
      <c r="L3" s="33" t="s">
        <v>14</v>
      </c>
      <c r="M3" s="40" t="s">
        <v>15</v>
      </c>
      <c r="N3" s="41" t="s">
        <v>16</v>
      </c>
      <c r="O3" s="15" t="s">
        <v>17</v>
      </c>
      <c r="P3" s="15" t="s">
        <v>18</v>
      </c>
      <c r="Q3" s="15" t="s">
        <v>19</v>
      </c>
      <c r="R3" s="15" t="s">
        <v>20</v>
      </c>
      <c r="S3" s="15" t="s">
        <v>21</v>
      </c>
      <c r="T3" s="46" t="s">
        <v>22</v>
      </c>
      <c r="U3" s="15" t="s">
        <v>23</v>
      </c>
      <c r="V3" s="15" t="s">
        <v>24</v>
      </c>
      <c r="W3" s="15" t="s">
        <v>25</v>
      </c>
      <c r="X3" s="15" t="s">
        <v>26</v>
      </c>
      <c r="Y3" s="15" t="s">
        <v>27</v>
      </c>
      <c r="Z3" s="15" t="s">
        <v>28</v>
      </c>
      <c r="AA3" s="15" t="s">
        <v>29</v>
      </c>
      <c r="AB3" s="15" t="s">
        <v>30</v>
      </c>
      <c r="AC3" s="15" t="s">
        <v>31</v>
      </c>
      <c r="AD3" s="15" t="s">
        <v>32</v>
      </c>
      <c r="AE3" s="15" t="s">
        <v>33</v>
      </c>
      <c r="AF3" s="15" t="s">
        <v>34</v>
      </c>
      <c r="AG3" s="15" t="s">
        <v>35</v>
      </c>
      <c r="AH3" s="15" t="s">
        <v>36</v>
      </c>
      <c r="AI3" s="15" t="s">
        <v>37</v>
      </c>
      <c r="AJ3" s="15" t="s">
        <v>38</v>
      </c>
      <c r="AK3" s="57" t="s">
        <v>39</v>
      </c>
      <c r="AL3" s="15" t="s">
        <v>40</v>
      </c>
      <c r="AM3" s="58" t="s">
        <v>41</v>
      </c>
      <c r="AN3" s="15" t="s">
        <v>42</v>
      </c>
      <c r="AO3" s="63" t="s">
        <v>43</v>
      </c>
      <c r="AP3" s="15" t="s">
        <v>44</v>
      </c>
      <c r="AQ3" s="15" t="s">
        <v>45</v>
      </c>
    </row>
    <row r="4" s="2" customFormat="true" ht="81" spans="1:43">
      <c r="A4" s="17" t="s">
        <v>46</v>
      </c>
      <c r="B4" s="18">
        <v>1</v>
      </c>
      <c r="C4" s="19" t="s">
        <v>47</v>
      </c>
      <c r="D4" s="20" t="s">
        <v>48</v>
      </c>
      <c r="E4" s="20" t="s">
        <v>49</v>
      </c>
      <c r="F4" s="19" t="s">
        <v>50</v>
      </c>
      <c r="G4" s="27"/>
      <c r="H4" s="19" t="s">
        <v>47</v>
      </c>
      <c r="I4" s="34" t="s">
        <v>51</v>
      </c>
      <c r="J4" s="20" t="s">
        <v>52</v>
      </c>
      <c r="K4" s="35">
        <v>39.46</v>
      </c>
      <c r="L4" s="30"/>
      <c r="M4" s="30"/>
      <c r="N4" s="42">
        <f>K4*1.0924</f>
        <v>43.11</v>
      </c>
      <c r="O4" s="42">
        <f>N4-K4</f>
        <v>3.65</v>
      </c>
      <c r="P4" s="35">
        <v>7892</v>
      </c>
      <c r="Q4" s="35"/>
      <c r="R4" s="42">
        <f>P4/K4</f>
        <v>200</v>
      </c>
      <c r="S4" s="42"/>
      <c r="T4" s="47" t="s">
        <v>53</v>
      </c>
      <c r="U4" s="49"/>
      <c r="V4" s="27">
        <v>76.48</v>
      </c>
      <c r="W4" s="27"/>
      <c r="X4" s="27">
        <v>76.48</v>
      </c>
      <c r="Y4" s="50">
        <f t="shared" ref="Y4:Y35" si="0">O4*R4</f>
        <v>730</v>
      </c>
      <c r="Z4" s="27">
        <f>(55-43.11)*100</f>
        <v>1189</v>
      </c>
      <c r="AA4" s="51">
        <f>55*28</f>
        <v>1540</v>
      </c>
      <c r="AB4" s="27"/>
      <c r="AC4" s="27"/>
      <c r="AD4" s="27"/>
      <c r="AE4" s="27">
        <v>15000</v>
      </c>
      <c r="AF4" s="27">
        <v>28000</v>
      </c>
      <c r="AG4" s="27"/>
      <c r="AH4" s="27">
        <f>1.48*1500</f>
        <v>2220</v>
      </c>
      <c r="AI4" s="27"/>
      <c r="AJ4" s="53">
        <f>Y4+AA4+AE4+AF4+AG4+AH4+Z4</f>
        <v>48679</v>
      </c>
      <c r="AK4" s="59">
        <f t="shared" ref="AK4:AK13" si="1">AJ4*0.01</f>
        <v>486.79</v>
      </c>
      <c r="AL4" s="59">
        <f t="shared" ref="AL4:AL35" si="2">V4*1155*0.05</f>
        <v>4416.72</v>
      </c>
      <c r="AM4" s="60">
        <v>1200</v>
      </c>
      <c r="AN4" s="59">
        <f>SUM(AJ4:AM4)</f>
        <v>54782.51</v>
      </c>
      <c r="AO4" s="64"/>
      <c r="AP4" s="27"/>
      <c r="AQ4" s="49" t="s">
        <v>54</v>
      </c>
    </row>
    <row r="5" s="2" customFormat="true" ht="67.5" spans="1:43">
      <c r="A5" s="17" t="s">
        <v>55</v>
      </c>
      <c r="B5" s="18">
        <v>2</v>
      </c>
      <c r="C5" s="19" t="s">
        <v>56</v>
      </c>
      <c r="D5" s="20" t="s">
        <v>57</v>
      </c>
      <c r="E5" s="20" t="s">
        <v>49</v>
      </c>
      <c r="F5" s="19" t="s">
        <v>50</v>
      </c>
      <c r="G5" s="27"/>
      <c r="H5" s="19" t="s">
        <v>56</v>
      </c>
      <c r="I5" s="34" t="s">
        <v>51</v>
      </c>
      <c r="J5" s="20" t="s">
        <v>58</v>
      </c>
      <c r="K5" s="35">
        <v>38.12</v>
      </c>
      <c r="L5" s="30"/>
      <c r="M5" s="30"/>
      <c r="N5" s="42">
        <f>K5*1.0924</f>
        <v>41.64</v>
      </c>
      <c r="O5" s="42">
        <f>N5-K5</f>
        <v>3.52</v>
      </c>
      <c r="P5" s="35">
        <v>9148.8</v>
      </c>
      <c r="Q5" s="35"/>
      <c r="R5" s="42">
        <f>P5/K5</f>
        <v>240</v>
      </c>
      <c r="S5" s="42" t="s">
        <v>59</v>
      </c>
      <c r="T5" s="47" t="s">
        <v>60</v>
      </c>
      <c r="U5" s="49"/>
      <c r="V5" s="27">
        <v>85.44</v>
      </c>
      <c r="W5" s="27"/>
      <c r="X5" s="27">
        <v>76.48</v>
      </c>
      <c r="Y5" s="50">
        <f t="shared" si="0"/>
        <v>844.8</v>
      </c>
      <c r="Z5" s="27">
        <f>(55-41.64)*100</f>
        <v>1336</v>
      </c>
      <c r="AA5" s="51">
        <f>55*28</f>
        <v>1540</v>
      </c>
      <c r="AB5" s="27"/>
      <c r="AC5" s="27"/>
      <c r="AD5" s="27"/>
      <c r="AE5" s="27">
        <v>15000</v>
      </c>
      <c r="AF5" s="27">
        <v>28000</v>
      </c>
      <c r="AG5" s="27">
        <v>34000</v>
      </c>
      <c r="AH5" s="27">
        <f>0.44*1500</f>
        <v>660</v>
      </c>
      <c r="AI5" s="27"/>
      <c r="AJ5" s="53">
        <f>Y5+AA5+AE5+AF5+AG5+AH5+Z5</f>
        <v>81380.8</v>
      </c>
      <c r="AK5" s="59">
        <f t="shared" si="1"/>
        <v>813.81</v>
      </c>
      <c r="AL5" s="59">
        <f t="shared" si="2"/>
        <v>4934.16</v>
      </c>
      <c r="AM5" s="60">
        <v>1200</v>
      </c>
      <c r="AN5" s="59">
        <f t="shared" ref="AN5:AN36" si="3">SUM(AJ5:AM5)</f>
        <v>88328.77</v>
      </c>
      <c r="AO5" s="64"/>
      <c r="AP5" s="27"/>
      <c r="AQ5" s="49" t="s">
        <v>61</v>
      </c>
    </row>
    <row r="6" s="3" customFormat="true" ht="38.25" customHeight="true" spans="1:43">
      <c r="A6" s="17" t="s">
        <v>62</v>
      </c>
      <c r="B6" s="18">
        <v>3</v>
      </c>
      <c r="C6" s="19" t="s">
        <v>63</v>
      </c>
      <c r="D6" s="20" t="s">
        <v>64</v>
      </c>
      <c r="E6" s="20" t="s">
        <v>49</v>
      </c>
      <c r="F6" s="19" t="s">
        <v>50</v>
      </c>
      <c r="G6" s="27"/>
      <c r="H6" s="19" t="s">
        <v>65</v>
      </c>
      <c r="I6" s="34" t="s">
        <v>51</v>
      </c>
      <c r="J6" s="20" t="s">
        <v>66</v>
      </c>
      <c r="K6" s="35">
        <v>62.35</v>
      </c>
      <c r="L6" s="35">
        <v>6.87</v>
      </c>
      <c r="M6" s="35"/>
      <c r="N6" s="42">
        <v>68.11</v>
      </c>
      <c r="O6" s="42">
        <f>N6-K6</f>
        <v>5.76</v>
      </c>
      <c r="P6" s="35">
        <v>19952</v>
      </c>
      <c r="Q6" s="35">
        <v>1648.8</v>
      </c>
      <c r="R6" s="42">
        <f>P6/K6</f>
        <v>320</v>
      </c>
      <c r="S6" s="42" t="s">
        <v>59</v>
      </c>
      <c r="T6" s="47" t="s">
        <v>67</v>
      </c>
      <c r="U6" s="49"/>
      <c r="V6" s="27">
        <v>89.33</v>
      </c>
      <c r="W6" s="27">
        <v>2.78</v>
      </c>
      <c r="X6" s="27">
        <v>86.55</v>
      </c>
      <c r="Y6" s="50">
        <f t="shared" si="0"/>
        <v>1843.2</v>
      </c>
      <c r="Z6" s="27"/>
      <c r="AA6" s="51">
        <f>N6*28</f>
        <v>1907.08</v>
      </c>
      <c r="AB6" s="27"/>
      <c r="AC6" s="27"/>
      <c r="AD6" s="27"/>
      <c r="AE6" s="52">
        <f>(75-68.11)*1500</f>
        <v>10335</v>
      </c>
      <c r="AF6" s="27"/>
      <c r="AG6" s="52">
        <v>34000</v>
      </c>
      <c r="AH6" s="27">
        <f>1.55*1500</f>
        <v>2325</v>
      </c>
      <c r="AI6" s="27"/>
      <c r="AJ6" s="53">
        <f>Y6+AA6+AE6+AF6+AG6+AH6</f>
        <v>50410.28</v>
      </c>
      <c r="AK6" s="59">
        <f t="shared" si="1"/>
        <v>504.1</v>
      </c>
      <c r="AL6" s="59">
        <f t="shared" si="2"/>
        <v>5158.81</v>
      </c>
      <c r="AM6" s="60">
        <v>1200</v>
      </c>
      <c r="AN6" s="59">
        <f t="shared" si="3"/>
        <v>57273.19</v>
      </c>
      <c r="AO6" s="64">
        <f t="shared" ref="AO6:AO35" si="4">L6*1942.33</f>
        <v>13343.81</v>
      </c>
      <c r="AP6" s="27"/>
      <c r="AQ6" s="49"/>
    </row>
    <row r="7" s="3" customFormat="true" ht="38.25" customHeight="true" spans="1:43">
      <c r="A7" s="17" t="s">
        <v>68</v>
      </c>
      <c r="B7" s="18">
        <v>4</v>
      </c>
      <c r="C7" s="19" t="s">
        <v>69</v>
      </c>
      <c r="D7" s="20" t="s">
        <v>70</v>
      </c>
      <c r="E7" s="20" t="s">
        <v>49</v>
      </c>
      <c r="F7" s="19" t="s">
        <v>50</v>
      </c>
      <c r="G7" s="27"/>
      <c r="H7" s="19" t="s">
        <v>69</v>
      </c>
      <c r="I7" s="34" t="s">
        <v>51</v>
      </c>
      <c r="J7" s="20" t="s">
        <v>71</v>
      </c>
      <c r="K7" s="35">
        <v>67.36</v>
      </c>
      <c r="L7" s="30">
        <v>6.16</v>
      </c>
      <c r="M7" s="30"/>
      <c r="N7" s="42">
        <v>73.58</v>
      </c>
      <c r="O7" s="42">
        <f>N7-K7</f>
        <v>6.22</v>
      </c>
      <c r="P7" s="35">
        <v>23503.8</v>
      </c>
      <c r="Q7" s="35">
        <v>1478.4</v>
      </c>
      <c r="R7" s="42">
        <f>P7/K7</f>
        <v>348.93</v>
      </c>
      <c r="S7" s="42" t="s">
        <v>59</v>
      </c>
      <c r="T7" s="47" t="s">
        <v>72</v>
      </c>
      <c r="U7" s="49"/>
      <c r="V7" s="27">
        <v>66.25</v>
      </c>
      <c r="W7" s="27"/>
      <c r="X7" s="27">
        <v>66.25</v>
      </c>
      <c r="Y7" s="50">
        <f t="shared" si="0"/>
        <v>2170.34</v>
      </c>
      <c r="Z7" s="27"/>
      <c r="AA7" s="27">
        <f>V7*28</f>
        <v>1855</v>
      </c>
      <c r="AB7" s="27"/>
      <c r="AC7" s="27"/>
      <c r="AD7" s="27"/>
      <c r="AE7" s="27"/>
      <c r="AF7" s="27"/>
      <c r="AG7" s="27"/>
      <c r="AH7" s="27"/>
      <c r="AI7" s="27"/>
      <c r="AJ7" s="53">
        <f>Y7+AA7+AE7+AF7+AG7+AH7</f>
        <v>4025.34</v>
      </c>
      <c r="AK7" s="59">
        <f t="shared" si="1"/>
        <v>40.25</v>
      </c>
      <c r="AL7" s="59">
        <f t="shared" si="2"/>
        <v>3825.94</v>
      </c>
      <c r="AM7" s="60">
        <v>1200</v>
      </c>
      <c r="AN7" s="59">
        <f t="shared" si="3"/>
        <v>9091.53</v>
      </c>
      <c r="AO7" s="64">
        <f t="shared" si="4"/>
        <v>11964.75</v>
      </c>
      <c r="AP7" s="27">
        <f>(73.58-66.25)*1500</f>
        <v>10995</v>
      </c>
      <c r="AQ7" s="49"/>
    </row>
    <row r="8" s="3" customFormat="true" ht="38.25" customHeight="true" spans="1:43">
      <c r="A8" s="17" t="s">
        <v>73</v>
      </c>
      <c r="B8" s="18">
        <v>5</v>
      </c>
      <c r="C8" s="19" t="s">
        <v>74</v>
      </c>
      <c r="D8" s="20" t="s">
        <v>75</v>
      </c>
      <c r="E8" s="20" t="s">
        <v>76</v>
      </c>
      <c r="F8" s="19" t="s">
        <v>50</v>
      </c>
      <c r="G8" s="27"/>
      <c r="H8" s="19" t="s">
        <v>74</v>
      </c>
      <c r="I8" s="34" t="s">
        <v>51</v>
      </c>
      <c r="J8" s="20" t="s">
        <v>77</v>
      </c>
      <c r="K8" s="35">
        <v>66.55</v>
      </c>
      <c r="L8" s="30">
        <v>6.6</v>
      </c>
      <c r="M8" s="30"/>
      <c r="N8" s="27">
        <v>72.7</v>
      </c>
      <c r="O8" s="27"/>
      <c r="P8" s="43"/>
      <c r="Q8" s="43"/>
      <c r="R8" s="27"/>
      <c r="S8" s="42" t="s">
        <v>59</v>
      </c>
      <c r="T8" s="47" t="s">
        <v>78</v>
      </c>
      <c r="U8" s="49"/>
      <c r="V8" s="27">
        <v>66.25</v>
      </c>
      <c r="W8" s="27"/>
      <c r="X8" s="27">
        <v>66.25</v>
      </c>
      <c r="Y8" s="50">
        <f t="shared" si="0"/>
        <v>0</v>
      </c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54">
        <v>0</v>
      </c>
      <c r="AK8" s="59">
        <f t="shared" si="1"/>
        <v>0</v>
      </c>
      <c r="AL8" s="59">
        <f t="shared" si="2"/>
        <v>3825.94</v>
      </c>
      <c r="AM8" s="60">
        <v>1200</v>
      </c>
      <c r="AN8" s="59">
        <f t="shared" si="3"/>
        <v>5025.94</v>
      </c>
      <c r="AO8" s="64">
        <f t="shared" si="4"/>
        <v>12819.38</v>
      </c>
      <c r="AP8" s="27">
        <f>(72.7-66.25)*1500</f>
        <v>9675</v>
      </c>
      <c r="AQ8" s="35" t="s">
        <v>79</v>
      </c>
    </row>
    <row r="9" s="3" customFormat="true" ht="38.25" customHeight="true" spans="1:43">
      <c r="A9" s="17" t="s">
        <v>80</v>
      </c>
      <c r="B9" s="18">
        <v>6</v>
      </c>
      <c r="C9" s="19" t="s">
        <v>81</v>
      </c>
      <c r="D9" s="20" t="s">
        <v>82</v>
      </c>
      <c r="E9" s="20" t="s">
        <v>76</v>
      </c>
      <c r="F9" s="19" t="s">
        <v>50</v>
      </c>
      <c r="G9" s="27"/>
      <c r="H9" s="19" t="s">
        <v>81</v>
      </c>
      <c r="I9" s="34" t="s">
        <v>51</v>
      </c>
      <c r="J9" s="20" t="s">
        <v>83</v>
      </c>
      <c r="K9" s="35">
        <v>95.81</v>
      </c>
      <c r="L9" s="30">
        <v>7.86</v>
      </c>
      <c r="M9" s="30"/>
      <c r="N9" s="27">
        <v>104.66</v>
      </c>
      <c r="O9" s="27"/>
      <c r="P9" s="35"/>
      <c r="Q9" s="35"/>
      <c r="R9" s="27"/>
      <c r="S9" s="42" t="s">
        <v>59</v>
      </c>
      <c r="T9" s="47" t="s">
        <v>84</v>
      </c>
      <c r="U9" s="49"/>
      <c r="V9" s="27">
        <v>66.25</v>
      </c>
      <c r="W9" s="27"/>
      <c r="X9" s="27">
        <v>66.25</v>
      </c>
      <c r="Y9" s="50">
        <f t="shared" si="0"/>
        <v>0</v>
      </c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54">
        <v>0</v>
      </c>
      <c r="AK9" s="59">
        <f t="shared" si="1"/>
        <v>0</v>
      </c>
      <c r="AL9" s="59">
        <f t="shared" si="2"/>
        <v>3825.94</v>
      </c>
      <c r="AM9" s="60">
        <v>1200</v>
      </c>
      <c r="AN9" s="59">
        <f t="shared" si="3"/>
        <v>5025.94</v>
      </c>
      <c r="AO9" s="64">
        <f t="shared" si="4"/>
        <v>15266.71</v>
      </c>
      <c r="AP9" s="27">
        <f>(104.66-66.25)*1500</f>
        <v>57615</v>
      </c>
      <c r="AQ9" s="35" t="s">
        <v>79</v>
      </c>
    </row>
    <row r="10" s="3" customFormat="true" ht="38.25" customHeight="true" spans="1:43">
      <c r="A10" s="17" t="s">
        <v>85</v>
      </c>
      <c r="B10" s="18">
        <v>7</v>
      </c>
      <c r="C10" s="19" t="s">
        <v>86</v>
      </c>
      <c r="D10" s="20" t="s">
        <v>87</v>
      </c>
      <c r="E10" s="20" t="s">
        <v>49</v>
      </c>
      <c r="F10" s="19" t="s">
        <v>50</v>
      </c>
      <c r="G10" s="27"/>
      <c r="H10" s="19" t="s">
        <v>86</v>
      </c>
      <c r="I10" s="34" t="s">
        <v>51</v>
      </c>
      <c r="J10" s="20" t="s">
        <v>88</v>
      </c>
      <c r="K10" s="35">
        <v>69.86</v>
      </c>
      <c r="L10" s="30">
        <v>6.16</v>
      </c>
      <c r="M10" s="30"/>
      <c r="N10" s="42">
        <v>76.32</v>
      </c>
      <c r="O10" s="42">
        <f>N10-K10</f>
        <v>6.46</v>
      </c>
      <c r="P10" s="35">
        <v>23053.8</v>
      </c>
      <c r="Q10" s="35">
        <v>1478.4</v>
      </c>
      <c r="R10" s="42">
        <f t="shared" ref="R10:R25" si="5">P10/K10</f>
        <v>330</v>
      </c>
      <c r="S10" s="42" t="s">
        <v>59</v>
      </c>
      <c r="T10" s="47" t="s">
        <v>89</v>
      </c>
      <c r="U10" s="49"/>
      <c r="V10" s="27">
        <v>66.25</v>
      </c>
      <c r="W10" s="27"/>
      <c r="X10" s="27">
        <v>66.25</v>
      </c>
      <c r="Y10" s="50">
        <f t="shared" si="0"/>
        <v>2131.8</v>
      </c>
      <c r="Z10" s="27"/>
      <c r="AA10" s="27">
        <f>V10*28</f>
        <v>1855</v>
      </c>
      <c r="AB10" s="27"/>
      <c r="AC10" s="27"/>
      <c r="AD10" s="27"/>
      <c r="AE10" s="27"/>
      <c r="AF10" s="27"/>
      <c r="AG10" s="27"/>
      <c r="AH10" s="27"/>
      <c r="AI10" s="27"/>
      <c r="AJ10" s="53">
        <f>Y10+AA10+AE10+AF10+AG10+AH10</f>
        <v>3986.8</v>
      </c>
      <c r="AK10" s="59">
        <f t="shared" si="1"/>
        <v>39.87</v>
      </c>
      <c r="AL10" s="59">
        <f t="shared" si="2"/>
        <v>3825.94</v>
      </c>
      <c r="AM10" s="60">
        <v>1200</v>
      </c>
      <c r="AN10" s="59">
        <f t="shared" si="3"/>
        <v>9052.61</v>
      </c>
      <c r="AO10" s="64">
        <f t="shared" si="4"/>
        <v>11964.75</v>
      </c>
      <c r="AP10" s="27">
        <f>(76.32-66.25)*1500</f>
        <v>15105</v>
      </c>
      <c r="AQ10" s="49"/>
    </row>
    <row r="11" s="3" customFormat="true" ht="38.25" customHeight="true" spans="1:43">
      <c r="A11" s="17" t="s">
        <v>90</v>
      </c>
      <c r="B11" s="18">
        <v>8</v>
      </c>
      <c r="C11" s="19" t="s">
        <v>91</v>
      </c>
      <c r="D11" s="20" t="s">
        <v>92</v>
      </c>
      <c r="E11" s="20" t="s">
        <v>76</v>
      </c>
      <c r="F11" s="19" t="s">
        <v>50</v>
      </c>
      <c r="G11" s="27"/>
      <c r="H11" s="19" t="s">
        <v>91</v>
      </c>
      <c r="I11" s="34" t="s">
        <v>51</v>
      </c>
      <c r="J11" s="20" t="s">
        <v>93</v>
      </c>
      <c r="K11" s="35">
        <v>60.91</v>
      </c>
      <c r="L11" s="35">
        <v>6.87</v>
      </c>
      <c r="M11" s="35"/>
      <c r="N11" s="42">
        <v>66.54</v>
      </c>
      <c r="O11" s="42">
        <f>N11-K11</f>
        <v>5.63</v>
      </c>
      <c r="P11" s="35">
        <v>1648.8</v>
      </c>
      <c r="Q11" s="35">
        <v>1648.8</v>
      </c>
      <c r="R11" s="42">
        <f t="shared" si="5"/>
        <v>27.07</v>
      </c>
      <c r="S11" s="42" t="s">
        <v>59</v>
      </c>
      <c r="T11" s="47" t="s">
        <v>94</v>
      </c>
      <c r="U11" s="49"/>
      <c r="V11" s="27">
        <v>66.25</v>
      </c>
      <c r="W11" s="27"/>
      <c r="X11" s="27">
        <v>66.25</v>
      </c>
      <c r="Y11" s="50">
        <f t="shared" si="0"/>
        <v>152.4</v>
      </c>
      <c r="Z11" s="27"/>
      <c r="AA11" s="51">
        <f>V11*28</f>
        <v>1855</v>
      </c>
      <c r="AB11" s="27"/>
      <c r="AC11" s="27"/>
      <c r="AD11" s="27"/>
      <c r="AE11" s="27"/>
      <c r="AF11" s="27"/>
      <c r="AG11" s="27"/>
      <c r="AH11" s="27"/>
      <c r="AI11" s="27"/>
      <c r="AJ11" s="53">
        <f>Y11+AA11+AE11+AF11+AG11+AH11</f>
        <v>2007.4</v>
      </c>
      <c r="AK11" s="59">
        <f t="shared" si="1"/>
        <v>20.07</v>
      </c>
      <c r="AL11" s="59">
        <f t="shared" si="2"/>
        <v>3825.94</v>
      </c>
      <c r="AM11" s="60">
        <v>1200</v>
      </c>
      <c r="AN11" s="59">
        <f t="shared" si="3"/>
        <v>7053.41</v>
      </c>
      <c r="AO11" s="64">
        <f t="shared" si="4"/>
        <v>13343.81</v>
      </c>
      <c r="AP11" s="27">
        <f>(66.54-66.25)*1500</f>
        <v>435.000000000009</v>
      </c>
      <c r="AQ11" s="49"/>
    </row>
    <row r="12" s="3" customFormat="true" ht="38.25" customHeight="true" spans="1:43">
      <c r="A12" s="17" t="s">
        <v>95</v>
      </c>
      <c r="B12" s="18">
        <v>9</v>
      </c>
      <c r="C12" s="19" t="s">
        <v>96</v>
      </c>
      <c r="D12" s="20" t="s">
        <v>97</v>
      </c>
      <c r="E12" s="20" t="s">
        <v>76</v>
      </c>
      <c r="F12" s="19" t="s">
        <v>50</v>
      </c>
      <c r="G12" s="27"/>
      <c r="H12" s="19" t="s">
        <v>96</v>
      </c>
      <c r="I12" s="34" t="s">
        <v>51</v>
      </c>
      <c r="J12" s="20" t="s">
        <v>98</v>
      </c>
      <c r="K12" s="35">
        <v>66.55</v>
      </c>
      <c r="L12" s="30">
        <v>6.6</v>
      </c>
      <c r="M12" s="30"/>
      <c r="N12" s="42">
        <v>72.7</v>
      </c>
      <c r="O12" s="42">
        <f>N12-K12</f>
        <v>6.15</v>
      </c>
      <c r="P12" s="35">
        <v>21296</v>
      </c>
      <c r="Q12" s="35">
        <v>1440</v>
      </c>
      <c r="R12" s="42">
        <f t="shared" si="5"/>
        <v>320</v>
      </c>
      <c r="S12" s="42" t="s">
        <v>59</v>
      </c>
      <c r="T12" s="47" t="s">
        <v>99</v>
      </c>
      <c r="U12" s="49"/>
      <c r="V12" s="27">
        <v>66.25</v>
      </c>
      <c r="W12" s="27"/>
      <c r="X12" s="27">
        <v>66.25</v>
      </c>
      <c r="Y12" s="50">
        <f t="shared" si="0"/>
        <v>1968</v>
      </c>
      <c r="Z12" s="27"/>
      <c r="AA12" s="27">
        <f>V12*28</f>
        <v>1855</v>
      </c>
      <c r="AB12" s="27"/>
      <c r="AC12" s="27"/>
      <c r="AD12" s="27"/>
      <c r="AE12" s="27"/>
      <c r="AF12" s="27"/>
      <c r="AG12" s="27"/>
      <c r="AH12" s="27"/>
      <c r="AI12" s="27"/>
      <c r="AJ12" s="53">
        <f>Y12+AA12+AE12+AF12+AG12+AH12</f>
        <v>3823</v>
      </c>
      <c r="AK12" s="59">
        <f t="shared" si="1"/>
        <v>38.23</v>
      </c>
      <c r="AL12" s="59">
        <f t="shared" si="2"/>
        <v>3825.94</v>
      </c>
      <c r="AM12" s="60">
        <v>1200</v>
      </c>
      <c r="AN12" s="59">
        <f t="shared" si="3"/>
        <v>8887.17</v>
      </c>
      <c r="AO12" s="64">
        <f t="shared" si="4"/>
        <v>12819.38</v>
      </c>
      <c r="AP12" s="27">
        <f>(72.7-66.25)*1500</f>
        <v>9675</v>
      </c>
      <c r="AQ12" s="49"/>
    </row>
    <row r="13" s="3" customFormat="true" ht="38.25" customHeight="true" spans="1:43">
      <c r="A13" s="17" t="s">
        <v>100</v>
      </c>
      <c r="B13" s="18">
        <v>10</v>
      </c>
      <c r="C13" s="21" t="s">
        <v>101</v>
      </c>
      <c r="D13" s="22" t="s">
        <v>102</v>
      </c>
      <c r="E13" s="22" t="s">
        <v>103</v>
      </c>
      <c r="F13" s="21" t="s">
        <v>50</v>
      </c>
      <c r="G13" s="28"/>
      <c r="H13" s="21" t="s">
        <v>101</v>
      </c>
      <c r="I13" s="34" t="s">
        <v>51</v>
      </c>
      <c r="J13" s="36" t="s">
        <v>104</v>
      </c>
      <c r="K13" s="30">
        <v>64.38</v>
      </c>
      <c r="L13" s="30">
        <v>6.16</v>
      </c>
      <c r="M13" s="30"/>
      <c r="N13" s="27"/>
      <c r="O13" s="42"/>
      <c r="P13" s="43"/>
      <c r="Q13" s="43"/>
      <c r="R13" s="42">
        <f t="shared" si="5"/>
        <v>0</v>
      </c>
      <c r="S13" s="42" t="s">
        <v>59</v>
      </c>
      <c r="T13" s="47" t="s">
        <v>105</v>
      </c>
      <c r="U13" s="49"/>
      <c r="V13" s="27">
        <v>76.76</v>
      </c>
      <c r="W13" s="27"/>
      <c r="X13" s="27">
        <v>76.76</v>
      </c>
      <c r="Y13" s="50">
        <f t="shared" si="0"/>
        <v>0</v>
      </c>
      <c r="Z13" s="27"/>
      <c r="AA13" s="27"/>
      <c r="AB13" s="27"/>
      <c r="AC13" s="27"/>
      <c r="AD13" s="27">
        <f>(76.76-64.38)*2642</f>
        <v>32707.96</v>
      </c>
      <c r="AE13" s="27"/>
      <c r="AF13" s="27"/>
      <c r="AG13" s="27"/>
      <c r="AH13" s="27"/>
      <c r="AI13" s="27"/>
      <c r="AJ13" s="53">
        <f>Y13+AA13+AF13+AG13+AH13+AE13+AD13</f>
        <v>32707.96</v>
      </c>
      <c r="AK13" s="59">
        <f t="shared" si="1"/>
        <v>327.08</v>
      </c>
      <c r="AL13" s="59">
        <f t="shared" si="2"/>
        <v>4432.89</v>
      </c>
      <c r="AM13" s="60">
        <v>1200</v>
      </c>
      <c r="AN13" s="59">
        <f t="shared" si="3"/>
        <v>38667.93</v>
      </c>
      <c r="AO13" s="64">
        <f t="shared" si="4"/>
        <v>11964.75</v>
      </c>
      <c r="AP13" s="27"/>
      <c r="AQ13" s="49"/>
    </row>
    <row r="14" s="3" customFormat="true" ht="38.25" customHeight="true" spans="1:43">
      <c r="A14" s="23" t="s">
        <v>106</v>
      </c>
      <c r="B14" s="18">
        <v>11</v>
      </c>
      <c r="C14" s="19" t="s">
        <v>107</v>
      </c>
      <c r="D14" s="20" t="s">
        <v>108</v>
      </c>
      <c r="E14" s="20" t="s">
        <v>49</v>
      </c>
      <c r="F14" s="19" t="s">
        <v>109</v>
      </c>
      <c r="G14" s="29" t="s">
        <v>110</v>
      </c>
      <c r="H14" s="19" t="s">
        <v>107</v>
      </c>
      <c r="I14" s="34" t="s">
        <v>51</v>
      </c>
      <c r="J14" s="20" t="s">
        <v>111</v>
      </c>
      <c r="K14" s="35">
        <v>80.66</v>
      </c>
      <c r="L14" s="30">
        <v>6.6</v>
      </c>
      <c r="M14" s="30"/>
      <c r="N14" s="42">
        <v>88.11</v>
      </c>
      <c r="O14" s="42">
        <f t="shared" ref="O14:O29" si="6">N14-K14</f>
        <v>7.45</v>
      </c>
      <c r="P14" s="35">
        <v>25811.2</v>
      </c>
      <c r="Q14" s="35">
        <v>1440</v>
      </c>
      <c r="R14" s="42">
        <f t="shared" si="5"/>
        <v>320</v>
      </c>
      <c r="S14" s="42" t="s">
        <v>59</v>
      </c>
      <c r="T14" s="47" t="s">
        <v>112</v>
      </c>
      <c r="U14" s="19"/>
      <c r="V14" s="26">
        <v>96.44</v>
      </c>
      <c r="W14" s="50"/>
      <c r="X14" s="26">
        <v>96.44</v>
      </c>
      <c r="Y14" s="50">
        <f t="shared" si="0"/>
        <v>2384</v>
      </c>
      <c r="Z14" s="51"/>
      <c r="AA14" s="51">
        <f t="shared" ref="AA14:AA25" si="7">N14*28</f>
        <v>2467.08</v>
      </c>
      <c r="AB14" s="51"/>
      <c r="AC14" s="51"/>
      <c r="AD14" s="51"/>
      <c r="AE14" s="51"/>
      <c r="AF14" s="51"/>
      <c r="AG14" s="51"/>
      <c r="AH14" s="51">
        <f>1.44*1500</f>
        <v>2160</v>
      </c>
      <c r="AI14" s="51">
        <f>(95-88.11)*1500</f>
        <v>10335</v>
      </c>
      <c r="AJ14" s="53">
        <f>Y14+AA14+AF14+AG14+AH14+AE14+AI14</f>
        <v>17346.08</v>
      </c>
      <c r="AK14" s="59">
        <f>AJ14*0.015</f>
        <v>260.19</v>
      </c>
      <c r="AL14" s="59">
        <f t="shared" si="2"/>
        <v>5569.41</v>
      </c>
      <c r="AM14" s="60">
        <v>1200</v>
      </c>
      <c r="AN14" s="59">
        <f t="shared" si="3"/>
        <v>24375.68</v>
      </c>
      <c r="AO14" s="64">
        <f t="shared" si="4"/>
        <v>12819.38</v>
      </c>
      <c r="AP14" s="51"/>
      <c r="AQ14" s="51"/>
    </row>
    <row r="15" s="3" customFormat="true" ht="38.25" customHeight="true" spans="1:43">
      <c r="A15" s="23" t="s">
        <v>113</v>
      </c>
      <c r="B15" s="18">
        <v>12</v>
      </c>
      <c r="C15" s="19" t="s">
        <v>114</v>
      </c>
      <c r="D15" s="20" t="s">
        <v>115</v>
      </c>
      <c r="E15" s="20" t="s">
        <v>49</v>
      </c>
      <c r="F15" s="19" t="s">
        <v>50</v>
      </c>
      <c r="G15" s="30"/>
      <c r="H15" s="19" t="s">
        <v>114</v>
      </c>
      <c r="I15" s="34" t="s">
        <v>51</v>
      </c>
      <c r="J15" s="20" t="s">
        <v>116</v>
      </c>
      <c r="K15" s="35">
        <v>85.31</v>
      </c>
      <c r="L15" s="35">
        <v>6.16</v>
      </c>
      <c r="M15" s="35"/>
      <c r="N15" s="42">
        <v>93.19</v>
      </c>
      <c r="O15" s="42">
        <f t="shared" si="6"/>
        <v>7.88</v>
      </c>
      <c r="P15" s="35">
        <v>28152</v>
      </c>
      <c r="Q15" s="35">
        <v>1478.4</v>
      </c>
      <c r="R15" s="42">
        <f t="shared" si="5"/>
        <v>330</v>
      </c>
      <c r="S15" s="42" t="s">
        <v>59</v>
      </c>
      <c r="T15" s="47" t="s">
        <v>117</v>
      </c>
      <c r="U15" s="19"/>
      <c r="V15" s="26">
        <v>96.44</v>
      </c>
      <c r="W15" s="50"/>
      <c r="X15" s="26">
        <v>96.44</v>
      </c>
      <c r="Y15" s="50">
        <f t="shared" si="0"/>
        <v>2600.4</v>
      </c>
      <c r="Z15" s="51"/>
      <c r="AA15" s="51">
        <f t="shared" si="7"/>
        <v>2609.32</v>
      </c>
      <c r="AB15" s="51"/>
      <c r="AC15" s="51"/>
      <c r="AD15" s="51"/>
      <c r="AE15" s="51"/>
      <c r="AF15" s="28">
        <f>(95-93.19)*2800</f>
        <v>5068.00000000001</v>
      </c>
      <c r="AG15" s="51"/>
      <c r="AH15" s="51">
        <f>1.44*1500</f>
        <v>2160</v>
      </c>
      <c r="AI15" s="51"/>
      <c r="AJ15" s="53">
        <f>Y15+AA15+AF15+AG15+AH15+AE15</f>
        <v>12437.72</v>
      </c>
      <c r="AK15" s="59">
        <f>AJ15*0.015</f>
        <v>186.57</v>
      </c>
      <c r="AL15" s="59">
        <f t="shared" si="2"/>
        <v>5569.41</v>
      </c>
      <c r="AM15" s="60">
        <v>1200</v>
      </c>
      <c r="AN15" s="59">
        <f t="shared" si="3"/>
        <v>19393.7</v>
      </c>
      <c r="AO15" s="64">
        <f t="shared" si="4"/>
        <v>11964.75</v>
      </c>
      <c r="AP15" s="65"/>
      <c r="AQ15" s="51"/>
    </row>
    <row r="16" s="3" customFormat="true" ht="38.25" customHeight="true" spans="1:43">
      <c r="A16" s="23" t="s">
        <v>118</v>
      </c>
      <c r="B16" s="18">
        <v>13</v>
      </c>
      <c r="C16" s="19" t="s">
        <v>119</v>
      </c>
      <c r="D16" s="20" t="s">
        <v>120</v>
      </c>
      <c r="E16" s="20" t="s">
        <v>49</v>
      </c>
      <c r="F16" s="19" t="s">
        <v>50</v>
      </c>
      <c r="G16" s="30"/>
      <c r="H16" s="19" t="s">
        <v>119</v>
      </c>
      <c r="I16" s="34" t="s">
        <v>51</v>
      </c>
      <c r="J16" s="20" t="s">
        <v>121</v>
      </c>
      <c r="K16" s="35">
        <v>85.31</v>
      </c>
      <c r="L16" s="35">
        <v>6.16</v>
      </c>
      <c r="M16" s="35"/>
      <c r="N16" s="42">
        <v>93.19</v>
      </c>
      <c r="O16" s="42">
        <f t="shared" si="6"/>
        <v>7.88</v>
      </c>
      <c r="P16" s="35">
        <v>40195</v>
      </c>
      <c r="Q16" s="35">
        <v>3195</v>
      </c>
      <c r="R16" s="42">
        <f t="shared" si="5"/>
        <v>471.16</v>
      </c>
      <c r="S16" s="42" t="s">
        <v>59</v>
      </c>
      <c r="T16" s="47" t="s">
        <v>122</v>
      </c>
      <c r="U16" s="19"/>
      <c r="V16" s="26">
        <v>96.44</v>
      </c>
      <c r="W16" s="50"/>
      <c r="X16" s="26">
        <v>96.44</v>
      </c>
      <c r="Y16" s="50">
        <f t="shared" si="0"/>
        <v>3712.74</v>
      </c>
      <c r="Z16" s="51"/>
      <c r="AA16" s="51">
        <f t="shared" si="7"/>
        <v>2609.32</v>
      </c>
      <c r="AB16" s="51"/>
      <c r="AC16" s="51"/>
      <c r="AD16" s="51"/>
      <c r="AE16" s="51"/>
      <c r="AF16" s="28">
        <f>(95-93.19)*2800</f>
        <v>5068.00000000001</v>
      </c>
      <c r="AG16" s="51"/>
      <c r="AH16" s="51">
        <f>1.44*1500</f>
        <v>2160</v>
      </c>
      <c r="AI16" s="51"/>
      <c r="AJ16" s="53">
        <f>Y16+AA16+AF16+AG16+AH16+AE16</f>
        <v>13550.06</v>
      </c>
      <c r="AK16" s="59">
        <f>AJ16*0.015</f>
        <v>203.25</v>
      </c>
      <c r="AL16" s="59">
        <f t="shared" si="2"/>
        <v>5569.41</v>
      </c>
      <c r="AM16" s="60">
        <v>1200</v>
      </c>
      <c r="AN16" s="59">
        <f t="shared" si="3"/>
        <v>20522.72</v>
      </c>
      <c r="AO16" s="64">
        <f t="shared" si="4"/>
        <v>11964.75</v>
      </c>
      <c r="AP16" s="65"/>
      <c r="AQ16" s="51"/>
    </row>
    <row r="17" s="3" customFormat="true" ht="38.25" customHeight="true" spans="1:43">
      <c r="A17" s="23" t="s">
        <v>123</v>
      </c>
      <c r="B17" s="18">
        <v>14</v>
      </c>
      <c r="C17" s="19" t="s">
        <v>124</v>
      </c>
      <c r="D17" s="20" t="s">
        <v>125</v>
      </c>
      <c r="E17" s="20" t="s">
        <v>49</v>
      </c>
      <c r="F17" s="19" t="s">
        <v>50</v>
      </c>
      <c r="G17" s="30"/>
      <c r="H17" s="19" t="s">
        <v>124</v>
      </c>
      <c r="I17" s="34" t="s">
        <v>51</v>
      </c>
      <c r="J17" s="20" t="s">
        <v>126</v>
      </c>
      <c r="K17" s="35">
        <v>66.55</v>
      </c>
      <c r="L17" s="35">
        <v>6.6</v>
      </c>
      <c r="M17" s="35"/>
      <c r="N17" s="42">
        <v>72.7</v>
      </c>
      <c r="O17" s="42">
        <f t="shared" si="6"/>
        <v>6.15</v>
      </c>
      <c r="P17" s="35">
        <v>21296</v>
      </c>
      <c r="Q17" s="35">
        <v>1440</v>
      </c>
      <c r="R17" s="42">
        <f t="shared" si="5"/>
        <v>320</v>
      </c>
      <c r="S17" s="42" t="s">
        <v>59</v>
      </c>
      <c r="T17" s="47" t="s">
        <v>127</v>
      </c>
      <c r="U17" s="19"/>
      <c r="V17" s="19">
        <v>76.59</v>
      </c>
      <c r="W17" s="50"/>
      <c r="X17" s="19">
        <v>76.59</v>
      </c>
      <c r="Y17" s="50">
        <f t="shared" si="0"/>
        <v>1968</v>
      </c>
      <c r="Z17" s="51"/>
      <c r="AA17" s="51">
        <f t="shared" si="7"/>
        <v>2035.6</v>
      </c>
      <c r="AB17" s="51"/>
      <c r="AC17" s="51"/>
      <c r="AD17" s="51"/>
      <c r="AE17" s="27">
        <f>(75-72.7)*1500</f>
        <v>3450</v>
      </c>
      <c r="AF17" s="51"/>
      <c r="AG17" s="51"/>
      <c r="AH17" s="51">
        <f>1.59*1500</f>
        <v>2385</v>
      </c>
      <c r="AI17" s="51"/>
      <c r="AJ17" s="53">
        <f>Y17+AA17+AE17+AF17+AG17+AH17</f>
        <v>9838.6</v>
      </c>
      <c r="AK17" s="59">
        <f>AJ17*0.01</f>
        <v>98.39</v>
      </c>
      <c r="AL17" s="59">
        <f t="shared" si="2"/>
        <v>4423.07</v>
      </c>
      <c r="AM17" s="60">
        <v>1200</v>
      </c>
      <c r="AN17" s="59">
        <f t="shared" si="3"/>
        <v>15560.06</v>
      </c>
      <c r="AO17" s="64">
        <f t="shared" si="4"/>
        <v>12819.38</v>
      </c>
      <c r="AP17" s="51"/>
      <c r="AQ17" s="51"/>
    </row>
    <row r="18" s="3" customFormat="true" ht="38.25" customHeight="true" spans="1:43">
      <c r="A18" s="23" t="s">
        <v>128</v>
      </c>
      <c r="B18" s="18">
        <v>15</v>
      </c>
      <c r="C18" s="19" t="s">
        <v>129</v>
      </c>
      <c r="D18" s="20" t="s">
        <v>130</v>
      </c>
      <c r="E18" s="20" t="s">
        <v>131</v>
      </c>
      <c r="F18" s="19" t="s">
        <v>50</v>
      </c>
      <c r="G18" s="30"/>
      <c r="H18" s="19" t="s">
        <v>132</v>
      </c>
      <c r="I18" s="34" t="s">
        <v>51</v>
      </c>
      <c r="J18" s="20" t="s">
        <v>133</v>
      </c>
      <c r="K18" s="35">
        <v>69.86</v>
      </c>
      <c r="L18" s="35">
        <v>6.16</v>
      </c>
      <c r="M18" s="35"/>
      <c r="N18" s="42">
        <v>76.32</v>
      </c>
      <c r="O18" s="42">
        <f t="shared" si="6"/>
        <v>6.46</v>
      </c>
      <c r="P18" s="35">
        <v>23053.8</v>
      </c>
      <c r="Q18" s="35">
        <v>1478.4</v>
      </c>
      <c r="R18" s="42">
        <f t="shared" si="5"/>
        <v>330</v>
      </c>
      <c r="S18" s="42" t="s">
        <v>59</v>
      </c>
      <c r="T18" s="47" t="s">
        <v>134</v>
      </c>
      <c r="U18" s="19"/>
      <c r="V18" s="19">
        <v>76.59</v>
      </c>
      <c r="W18" s="50"/>
      <c r="X18" s="19">
        <v>76.59</v>
      </c>
      <c r="Y18" s="50">
        <f t="shared" si="0"/>
        <v>2131.8</v>
      </c>
      <c r="Z18" s="51"/>
      <c r="AA18" s="51">
        <f t="shared" si="7"/>
        <v>2136.96</v>
      </c>
      <c r="AB18" s="51"/>
      <c r="AC18" s="51"/>
      <c r="AD18" s="51"/>
      <c r="AE18" s="51"/>
      <c r="AF18" s="51"/>
      <c r="AG18" s="51"/>
      <c r="AH18" s="51">
        <f>(V18-N18)*1500</f>
        <v>405.000000000015</v>
      </c>
      <c r="AI18" s="51"/>
      <c r="AJ18" s="53">
        <f>Y18+AA18+AE18+AF18+AG18+AH18</f>
        <v>4673.76</v>
      </c>
      <c r="AK18" s="59">
        <f>AJ18*0.01</f>
        <v>46.74</v>
      </c>
      <c r="AL18" s="59">
        <f t="shared" si="2"/>
        <v>4423.07</v>
      </c>
      <c r="AM18" s="60">
        <v>1200</v>
      </c>
      <c r="AN18" s="59">
        <f t="shared" si="3"/>
        <v>10343.57</v>
      </c>
      <c r="AO18" s="64">
        <f t="shared" si="4"/>
        <v>11964.75</v>
      </c>
      <c r="AP18" s="51"/>
      <c r="AQ18" s="51"/>
    </row>
    <row r="19" s="3" customFormat="true" ht="38.25" customHeight="true" spans="1:43">
      <c r="A19" s="23" t="s">
        <v>135</v>
      </c>
      <c r="B19" s="18">
        <v>16</v>
      </c>
      <c r="C19" s="19" t="s">
        <v>136</v>
      </c>
      <c r="D19" s="20" t="s">
        <v>137</v>
      </c>
      <c r="E19" s="20" t="s">
        <v>49</v>
      </c>
      <c r="F19" s="19" t="s">
        <v>50</v>
      </c>
      <c r="G19" s="29"/>
      <c r="H19" s="19" t="s">
        <v>136</v>
      </c>
      <c r="I19" s="34" t="s">
        <v>51</v>
      </c>
      <c r="J19" s="20" t="s">
        <v>138</v>
      </c>
      <c r="K19" s="35">
        <v>64.68</v>
      </c>
      <c r="L19" s="35">
        <v>7.98</v>
      </c>
      <c r="M19" s="35"/>
      <c r="N19" s="42">
        <v>70.66</v>
      </c>
      <c r="O19" s="42">
        <f t="shared" si="6"/>
        <v>5.98</v>
      </c>
      <c r="P19" s="35">
        <v>18110.4</v>
      </c>
      <c r="Q19" s="35">
        <v>1915.2</v>
      </c>
      <c r="R19" s="42">
        <f t="shared" si="5"/>
        <v>280</v>
      </c>
      <c r="S19" s="42" t="s">
        <v>59</v>
      </c>
      <c r="T19" s="47" t="s">
        <v>139</v>
      </c>
      <c r="U19" s="19"/>
      <c r="V19" s="26">
        <v>76.48</v>
      </c>
      <c r="W19" s="50"/>
      <c r="X19" s="26">
        <v>76.48</v>
      </c>
      <c r="Y19" s="50">
        <f t="shared" si="0"/>
        <v>1674.4</v>
      </c>
      <c r="Z19" s="51"/>
      <c r="AA19" s="51">
        <f t="shared" si="7"/>
        <v>1978.48</v>
      </c>
      <c r="AB19" s="51"/>
      <c r="AC19" s="51"/>
      <c r="AD19" s="51"/>
      <c r="AE19" s="51">
        <f>(75-70.66)*1500</f>
        <v>6510.00000000001</v>
      </c>
      <c r="AF19" s="51"/>
      <c r="AG19" s="51"/>
      <c r="AH19" s="51">
        <f>1.48*1500</f>
        <v>2220</v>
      </c>
      <c r="AI19" s="51"/>
      <c r="AJ19" s="53">
        <f>Y19+AA19+AE19+AF19+AG19+AH19</f>
        <v>12382.88</v>
      </c>
      <c r="AK19" s="59">
        <f>AJ19*0.01</f>
        <v>123.83</v>
      </c>
      <c r="AL19" s="59">
        <f t="shared" si="2"/>
        <v>4416.72</v>
      </c>
      <c r="AM19" s="60">
        <v>1200</v>
      </c>
      <c r="AN19" s="59">
        <f t="shared" si="3"/>
        <v>18123.43</v>
      </c>
      <c r="AO19" s="64">
        <f t="shared" si="4"/>
        <v>15499.79</v>
      </c>
      <c r="AP19" s="51"/>
      <c r="AQ19" s="51"/>
    </row>
    <row r="20" s="3" customFormat="true" ht="38.25" customHeight="true" spans="1:43">
      <c r="A20" s="17" t="s">
        <v>140</v>
      </c>
      <c r="B20" s="18">
        <v>17</v>
      </c>
      <c r="C20" s="19" t="s">
        <v>141</v>
      </c>
      <c r="D20" s="20" t="s">
        <v>142</v>
      </c>
      <c r="E20" s="20" t="s">
        <v>49</v>
      </c>
      <c r="F20" s="19" t="s">
        <v>50</v>
      </c>
      <c r="G20" s="27"/>
      <c r="H20" s="19" t="s">
        <v>143</v>
      </c>
      <c r="I20" s="34" t="s">
        <v>51</v>
      </c>
      <c r="J20" s="20" t="s">
        <v>144</v>
      </c>
      <c r="K20" s="35">
        <v>60.91</v>
      </c>
      <c r="L20" s="35">
        <v>6.87</v>
      </c>
      <c r="M20" s="35"/>
      <c r="N20" s="42">
        <v>66.54</v>
      </c>
      <c r="O20" s="42">
        <f t="shared" si="6"/>
        <v>5.63</v>
      </c>
      <c r="P20" s="35">
        <v>19491.2</v>
      </c>
      <c r="Q20" s="35">
        <v>1648.8</v>
      </c>
      <c r="R20" s="42">
        <f t="shared" si="5"/>
        <v>320</v>
      </c>
      <c r="S20" s="42" t="s">
        <v>59</v>
      </c>
      <c r="T20" s="47" t="s">
        <v>145</v>
      </c>
      <c r="U20" s="49"/>
      <c r="V20" s="27">
        <v>95.91</v>
      </c>
      <c r="W20" s="27"/>
      <c r="X20" s="27">
        <v>95.91</v>
      </c>
      <c r="Y20" s="50">
        <f t="shared" si="0"/>
        <v>1801.6</v>
      </c>
      <c r="Z20" s="27"/>
      <c r="AA20" s="51">
        <f t="shared" si="7"/>
        <v>1863.12</v>
      </c>
      <c r="AB20" s="27"/>
      <c r="AC20" s="27"/>
      <c r="AD20" s="27"/>
      <c r="AE20" s="27">
        <f>(75-66.54)*1500</f>
        <v>12690</v>
      </c>
      <c r="AF20" s="27"/>
      <c r="AG20" s="27">
        <f>20*3400</f>
        <v>68000</v>
      </c>
      <c r="AH20" s="27">
        <f>0.91*1500</f>
        <v>1365</v>
      </c>
      <c r="AI20" s="27"/>
      <c r="AJ20" s="53">
        <f>Y20+AA20+AE20+AF20+AG20+AH20</f>
        <v>85719.72</v>
      </c>
      <c r="AK20" s="59">
        <f>AJ20*0.01</f>
        <v>857.2</v>
      </c>
      <c r="AL20" s="59">
        <f t="shared" si="2"/>
        <v>5538.8</v>
      </c>
      <c r="AM20" s="60">
        <v>1200</v>
      </c>
      <c r="AN20" s="59">
        <f t="shared" si="3"/>
        <v>93315.72</v>
      </c>
      <c r="AO20" s="64">
        <f t="shared" si="4"/>
        <v>13343.81</v>
      </c>
      <c r="AP20" s="27"/>
      <c r="AQ20" s="49"/>
    </row>
    <row r="21" s="3" customFormat="true" ht="38.25" customHeight="true" spans="1:43">
      <c r="A21" s="24" t="s">
        <v>146</v>
      </c>
      <c r="B21" s="18">
        <v>18</v>
      </c>
      <c r="C21" s="19" t="s">
        <v>147</v>
      </c>
      <c r="D21" s="20" t="s">
        <v>148</v>
      </c>
      <c r="E21" s="20" t="s">
        <v>49</v>
      </c>
      <c r="F21" s="19" t="s">
        <v>50</v>
      </c>
      <c r="G21" s="26"/>
      <c r="H21" s="19" t="s">
        <v>147</v>
      </c>
      <c r="I21" s="34" t="s">
        <v>51</v>
      </c>
      <c r="J21" s="20" t="s">
        <v>149</v>
      </c>
      <c r="K21" s="35">
        <v>80.66</v>
      </c>
      <c r="L21" s="35">
        <v>6.6</v>
      </c>
      <c r="M21" s="35"/>
      <c r="N21" s="42">
        <v>88.11</v>
      </c>
      <c r="O21" s="42">
        <f t="shared" si="6"/>
        <v>7.45</v>
      </c>
      <c r="P21" s="35">
        <v>25811.2</v>
      </c>
      <c r="Q21" s="35">
        <v>1440</v>
      </c>
      <c r="R21" s="42">
        <f t="shared" si="5"/>
        <v>320</v>
      </c>
      <c r="S21" s="42" t="s">
        <v>59</v>
      </c>
      <c r="T21" s="47" t="s">
        <v>150</v>
      </c>
      <c r="U21" s="19"/>
      <c r="V21" s="27">
        <v>95.91</v>
      </c>
      <c r="W21" s="26"/>
      <c r="X21" s="27">
        <v>95.91</v>
      </c>
      <c r="Y21" s="50">
        <f t="shared" si="0"/>
        <v>2384</v>
      </c>
      <c r="Z21" s="51"/>
      <c r="AA21" s="51">
        <f t="shared" si="7"/>
        <v>2467.08</v>
      </c>
      <c r="AB21" s="51"/>
      <c r="AC21" s="52"/>
      <c r="AD21" s="52"/>
      <c r="AE21" s="52"/>
      <c r="AF21" s="51">
        <f>(95-88.11)*2800</f>
        <v>19292</v>
      </c>
      <c r="AG21" s="52"/>
      <c r="AH21" s="52">
        <f>0.91*1500</f>
        <v>1365</v>
      </c>
      <c r="AI21" s="52"/>
      <c r="AJ21" s="53">
        <f>Y21+AA21+AF21+AG21+AH21+AE21</f>
        <v>25508.08</v>
      </c>
      <c r="AK21" s="59">
        <f>AJ21*0.015</f>
        <v>382.62</v>
      </c>
      <c r="AL21" s="59">
        <f t="shared" si="2"/>
        <v>5538.8</v>
      </c>
      <c r="AM21" s="60">
        <v>1200</v>
      </c>
      <c r="AN21" s="59">
        <f t="shared" si="3"/>
        <v>32629.5</v>
      </c>
      <c r="AO21" s="64">
        <f t="shared" si="4"/>
        <v>12819.38</v>
      </c>
      <c r="AP21" s="65"/>
      <c r="AQ21" s="52"/>
    </row>
    <row r="22" s="3" customFormat="true" ht="38.25" customHeight="true" spans="1:43">
      <c r="A22" s="23" t="s">
        <v>151</v>
      </c>
      <c r="B22" s="18">
        <v>19</v>
      </c>
      <c r="C22" s="19" t="s">
        <v>152</v>
      </c>
      <c r="D22" s="20" t="s">
        <v>153</v>
      </c>
      <c r="E22" s="20" t="s">
        <v>49</v>
      </c>
      <c r="F22" s="19" t="s">
        <v>50</v>
      </c>
      <c r="G22" s="30"/>
      <c r="H22" s="19" t="s">
        <v>152</v>
      </c>
      <c r="I22" s="34" t="s">
        <v>51</v>
      </c>
      <c r="J22" s="20" t="s">
        <v>154</v>
      </c>
      <c r="K22" s="35">
        <v>68.68</v>
      </c>
      <c r="L22" s="35">
        <v>6.87</v>
      </c>
      <c r="M22" s="35"/>
      <c r="N22" s="42">
        <v>75.03</v>
      </c>
      <c r="O22" s="42">
        <f t="shared" si="6"/>
        <v>6.35</v>
      </c>
      <c r="P22" s="35">
        <v>21977.6</v>
      </c>
      <c r="Q22" s="35">
        <v>1648.8</v>
      </c>
      <c r="R22" s="42">
        <f t="shared" si="5"/>
        <v>320</v>
      </c>
      <c r="S22" s="42" t="s">
        <v>59</v>
      </c>
      <c r="T22" s="47" t="s">
        <v>155</v>
      </c>
      <c r="U22" s="19"/>
      <c r="V22" s="27">
        <v>95.91</v>
      </c>
      <c r="W22" s="50"/>
      <c r="X22" s="27">
        <v>95.91</v>
      </c>
      <c r="Y22" s="50">
        <f t="shared" si="0"/>
        <v>2032</v>
      </c>
      <c r="Z22" s="51"/>
      <c r="AA22" s="51">
        <f t="shared" si="7"/>
        <v>2100.84</v>
      </c>
      <c r="AB22" s="51"/>
      <c r="AC22" s="51"/>
      <c r="AD22" s="51"/>
      <c r="AE22" s="51"/>
      <c r="AF22" s="51">
        <f>(85-75.03)*2800</f>
        <v>27916</v>
      </c>
      <c r="AG22" s="51">
        <v>34000</v>
      </c>
      <c r="AH22" s="51">
        <f>0.91*1500</f>
        <v>1365</v>
      </c>
      <c r="AI22" s="51"/>
      <c r="AJ22" s="53">
        <f>Y22+AA22+AE22+AF22+AG22+AH22</f>
        <v>67413.84</v>
      </c>
      <c r="AK22" s="59">
        <f>AJ22*0.015</f>
        <v>1011.21</v>
      </c>
      <c r="AL22" s="59">
        <f t="shared" si="2"/>
        <v>5538.8</v>
      </c>
      <c r="AM22" s="60">
        <v>1200</v>
      </c>
      <c r="AN22" s="59">
        <f t="shared" si="3"/>
        <v>75163.85</v>
      </c>
      <c r="AO22" s="64">
        <f t="shared" si="4"/>
        <v>13343.81</v>
      </c>
      <c r="AP22" s="51"/>
      <c r="AQ22" s="51"/>
    </row>
    <row r="23" s="3" customFormat="true" ht="38.25" customHeight="true" spans="1:43">
      <c r="A23" s="24" t="s">
        <v>156</v>
      </c>
      <c r="B23" s="18">
        <v>20</v>
      </c>
      <c r="C23" s="19" t="s">
        <v>157</v>
      </c>
      <c r="D23" s="20" t="s">
        <v>158</v>
      </c>
      <c r="E23" s="20" t="s">
        <v>49</v>
      </c>
      <c r="F23" s="19" t="s">
        <v>50</v>
      </c>
      <c r="G23" s="26"/>
      <c r="H23" s="19" t="s">
        <v>157</v>
      </c>
      <c r="I23" s="34" t="s">
        <v>51</v>
      </c>
      <c r="J23" s="20" t="s">
        <v>159</v>
      </c>
      <c r="K23" s="35">
        <v>80.66</v>
      </c>
      <c r="L23" s="35">
        <v>6.6</v>
      </c>
      <c r="M23" s="35"/>
      <c r="N23" s="42">
        <v>88.11</v>
      </c>
      <c r="O23" s="42">
        <f t="shared" si="6"/>
        <v>7.45</v>
      </c>
      <c r="P23" s="35">
        <v>25811.2</v>
      </c>
      <c r="Q23" s="35">
        <v>1440</v>
      </c>
      <c r="R23" s="42">
        <f t="shared" si="5"/>
        <v>320</v>
      </c>
      <c r="S23" s="42" t="s">
        <v>59</v>
      </c>
      <c r="T23" s="47" t="s">
        <v>160</v>
      </c>
      <c r="U23" s="19"/>
      <c r="V23" s="27">
        <v>95.91</v>
      </c>
      <c r="W23" s="50"/>
      <c r="X23" s="27">
        <v>95.91</v>
      </c>
      <c r="Y23" s="50">
        <f t="shared" si="0"/>
        <v>2384</v>
      </c>
      <c r="Z23" s="51"/>
      <c r="AA23" s="51">
        <f t="shared" si="7"/>
        <v>2467.08</v>
      </c>
      <c r="AB23" s="51"/>
      <c r="AC23" s="52"/>
      <c r="AD23" s="52"/>
      <c r="AE23" s="52"/>
      <c r="AF23" s="51">
        <f>(95-88.11)*2800</f>
        <v>19292</v>
      </c>
      <c r="AG23" s="52"/>
      <c r="AH23" s="52">
        <f>0.91*1500</f>
        <v>1365</v>
      </c>
      <c r="AI23" s="52"/>
      <c r="AJ23" s="53">
        <f>Y23+AA23+AF23+AG23+AH23+AE23</f>
        <v>25508.08</v>
      </c>
      <c r="AK23" s="59">
        <f>AJ23*0.015</f>
        <v>382.62</v>
      </c>
      <c r="AL23" s="59">
        <f t="shared" si="2"/>
        <v>5538.8</v>
      </c>
      <c r="AM23" s="60">
        <v>1200</v>
      </c>
      <c r="AN23" s="59">
        <f t="shared" si="3"/>
        <v>32629.5</v>
      </c>
      <c r="AO23" s="64">
        <f t="shared" si="4"/>
        <v>12819.38</v>
      </c>
      <c r="AP23" s="65"/>
      <c r="AQ23" s="52"/>
    </row>
    <row r="24" s="3" customFormat="true" ht="38.25" customHeight="true" spans="1:43">
      <c r="A24" s="23" t="s">
        <v>161</v>
      </c>
      <c r="B24" s="18">
        <v>21</v>
      </c>
      <c r="C24" s="19" t="s">
        <v>162</v>
      </c>
      <c r="D24" s="20" t="s">
        <v>163</v>
      </c>
      <c r="E24" s="20" t="s">
        <v>49</v>
      </c>
      <c r="F24" s="19" t="s">
        <v>109</v>
      </c>
      <c r="G24" s="29" t="s">
        <v>164</v>
      </c>
      <c r="H24" s="19" t="s">
        <v>162</v>
      </c>
      <c r="I24" s="34" t="s">
        <v>51</v>
      </c>
      <c r="J24" s="20" t="s">
        <v>165</v>
      </c>
      <c r="K24" s="35">
        <v>69.86</v>
      </c>
      <c r="L24" s="35">
        <v>6.16</v>
      </c>
      <c r="M24" s="35"/>
      <c r="N24" s="42">
        <v>76.32</v>
      </c>
      <c r="O24" s="42">
        <f t="shared" si="6"/>
        <v>6.46</v>
      </c>
      <c r="P24" s="35">
        <v>23053.8</v>
      </c>
      <c r="Q24" s="35">
        <v>1478.4</v>
      </c>
      <c r="R24" s="42">
        <f t="shared" si="5"/>
        <v>330</v>
      </c>
      <c r="S24" s="42" t="s">
        <v>59</v>
      </c>
      <c r="T24" s="47" t="s">
        <v>166</v>
      </c>
      <c r="U24" s="19"/>
      <c r="V24" s="26">
        <v>85.19</v>
      </c>
      <c r="W24" s="50"/>
      <c r="X24" s="26">
        <v>85.19</v>
      </c>
      <c r="Y24" s="50">
        <f t="shared" si="0"/>
        <v>2131.8</v>
      </c>
      <c r="Z24" s="51"/>
      <c r="AA24" s="51">
        <f t="shared" si="7"/>
        <v>2136.96</v>
      </c>
      <c r="AB24" s="51"/>
      <c r="AC24" s="51"/>
      <c r="AD24" s="51"/>
      <c r="AE24" s="51"/>
      <c r="AF24" s="51"/>
      <c r="AG24" s="51"/>
      <c r="AH24" s="51">
        <f>0.19*1500</f>
        <v>285</v>
      </c>
      <c r="AI24" s="51">
        <f>(85-76.32)*1500</f>
        <v>13020</v>
      </c>
      <c r="AJ24" s="53">
        <f>Y24+AA24+AE24+AF24+AG24+AH24+AI24</f>
        <v>17573.76</v>
      </c>
      <c r="AK24" s="59">
        <f>AJ24*0.01</f>
        <v>175.74</v>
      </c>
      <c r="AL24" s="59">
        <f t="shared" si="2"/>
        <v>4919.72</v>
      </c>
      <c r="AM24" s="60">
        <v>1200</v>
      </c>
      <c r="AN24" s="59">
        <f t="shared" si="3"/>
        <v>23869.22</v>
      </c>
      <c r="AO24" s="64">
        <f t="shared" si="4"/>
        <v>11964.75</v>
      </c>
      <c r="AP24" s="51"/>
      <c r="AQ24" s="51"/>
    </row>
    <row r="25" s="3" customFormat="true" ht="38.25" customHeight="true" spans="1:43">
      <c r="A25" s="23" t="s">
        <v>167</v>
      </c>
      <c r="B25" s="18">
        <v>22</v>
      </c>
      <c r="C25" s="19" t="s">
        <v>168</v>
      </c>
      <c r="D25" s="20" t="s">
        <v>169</v>
      </c>
      <c r="E25" s="20" t="s">
        <v>49</v>
      </c>
      <c r="F25" s="19" t="s">
        <v>50</v>
      </c>
      <c r="G25" s="30"/>
      <c r="H25" s="19" t="s">
        <v>168</v>
      </c>
      <c r="I25" s="34" t="s">
        <v>51</v>
      </c>
      <c r="J25" s="20" t="s">
        <v>170</v>
      </c>
      <c r="K25" s="35">
        <v>64.7</v>
      </c>
      <c r="L25" s="35">
        <v>7.98</v>
      </c>
      <c r="M25" s="35"/>
      <c r="N25" s="42">
        <v>70.68</v>
      </c>
      <c r="O25" s="42">
        <f t="shared" si="6"/>
        <v>5.98</v>
      </c>
      <c r="P25" s="35">
        <v>18116</v>
      </c>
      <c r="Q25" s="35">
        <v>1915.2</v>
      </c>
      <c r="R25" s="42">
        <f t="shared" si="5"/>
        <v>280</v>
      </c>
      <c r="S25" s="42" t="s">
        <v>59</v>
      </c>
      <c r="T25" s="47" t="s">
        <v>171</v>
      </c>
      <c r="U25" s="19"/>
      <c r="V25" s="27">
        <v>95.91</v>
      </c>
      <c r="W25" s="50"/>
      <c r="X25" s="27">
        <v>95.91</v>
      </c>
      <c r="Y25" s="50">
        <f t="shared" si="0"/>
        <v>1674.4</v>
      </c>
      <c r="Z25" s="51"/>
      <c r="AA25" s="51">
        <f t="shared" si="7"/>
        <v>1979.04</v>
      </c>
      <c r="AB25" s="51"/>
      <c r="AC25" s="51"/>
      <c r="AD25" s="51"/>
      <c r="AE25" s="51">
        <f>(75-70.68)*1500</f>
        <v>6479.99999999999</v>
      </c>
      <c r="AF25" s="51"/>
      <c r="AG25" s="51">
        <v>68000</v>
      </c>
      <c r="AH25" s="51">
        <f>0.91*1500</f>
        <v>1365</v>
      </c>
      <c r="AI25" s="51"/>
      <c r="AJ25" s="53">
        <f>Y25+AA25+AE25+AF25+AG25+AH25</f>
        <v>79498.44</v>
      </c>
      <c r="AK25" s="59">
        <f>AJ25*0.015</f>
        <v>1192.48</v>
      </c>
      <c r="AL25" s="59">
        <f t="shared" si="2"/>
        <v>5538.8</v>
      </c>
      <c r="AM25" s="60">
        <v>1200</v>
      </c>
      <c r="AN25" s="59">
        <f t="shared" si="3"/>
        <v>87429.72</v>
      </c>
      <c r="AO25" s="64">
        <f t="shared" si="4"/>
        <v>15499.79</v>
      </c>
      <c r="AP25" s="51"/>
      <c r="AQ25" s="51"/>
    </row>
    <row r="26" s="3" customFormat="true" ht="38.25" customHeight="true" spans="1:43">
      <c r="A26" s="23" t="s">
        <v>172</v>
      </c>
      <c r="B26" s="18">
        <v>23</v>
      </c>
      <c r="C26" s="19" t="s">
        <v>173</v>
      </c>
      <c r="D26" s="20" t="s">
        <v>174</v>
      </c>
      <c r="E26" s="20" t="s">
        <v>76</v>
      </c>
      <c r="F26" s="19" t="s">
        <v>50</v>
      </c>
      <c r="G26" s="30"/>
      <c r="H26" s="19" t="s">
        <v>173</v>
      </c>
      <c r="I26" s="34" t="s">
        <v>51</v>
      </c>
      <c r="J26" s="20" t="s">
        <v>175</v>
      </c>
      <c r="K26" s="35">
        <v>64.43</v>
      </c>
      <c r="L26" s="35">
        <v>9.05</v>
      </c>
      <c r="M26" s="35"/>
      <c r="N26" s="42">
        <v>70.38</v>
      </c>
      <c r="O26" s="42">
        <f t="shared" si="6"/>
        <v>5.95</v>
      </c>
      <c r="P26" s="35"/>
      <c r="Q26" s="35"/>
      <c r="R26" s="42"/>
      <c r="S26" s="42" t="s">
        <v>59</v>
      </c>
      <c r="T26" s="47" t="s">
        <v>176</v>
      </c>
      <c r="U26" s="19"/>
      <c r="V26" s="26">
        <v>85.19</v>
      </c>
      <c r="W26" s="50"/>
      <c r="X26" s="26">
        <v>85.19</v>
      </c>
      <c r="Y26" s="50">
        <f t="shared" si="0"/>
        <v>0</v>
      </c>
      <c r="Z26" s="51"/>
      <c r="AA26" s="51"/>
      <c r="AB26" s="51"/>
      <c r="AC26" s="51"/>
      <c r="AD26" s="51"/>
      <c r="AE26" s="51"/>
      <c r="AF26" s="51">
        <f>(75-70.38)*2800</f>
        <v>12936</v>
      </c>
      <c r="AG26" s="51">
        <v>34000</v>
      </c>
      <c r="AH26" s="51">
        <f>0.19*1500</f>
        <v>285</v>
      </c>
      <c r="AI26" s="51"/>
      <c r="AJ26" s="53">
        <f>Y26+AA26+AE26+AF26+AG26+AH26</f>
        <v>47221</v>
      </c>
      <c r="AK26" s="59">
        <f>AJ26*0.01</f>
        <v>472.21</v>
      </c>
      <c r="AL26" s="59">
        <f t="shared" si="2"/>
        <v>4919.72</v>
      </c>
      <c r="AM26" s="60">
        <v>1200</v>
      </c>
      <c r="AN26" s="59">
        <f t="shared" si="3"/>
        <v>53812.93</v>
      </c>
      <c r="AO26" s="64">
        <f t="shared" si="4"/>
        <v>17578.09</v>
      </c>
      <c r="AP26" s="51"/>
      <c r="AQ26" s="51" t="s">
        <v>79</v>
      </c>
    </row>
    <row r="27" s="3" customFormat="true" ht="38.25" customHeight="true" spans="1:43">
      <c r="A27" s="23" t="s">
        <v>177</v>
      </c>
      <c r="B27" s="18">
        <v>24</v>
      </c>
      <c r="C27" s="19" t="s">
        <v>178</v>
      </c>
      <c r="D27" s="20" t="s">
        <v>179</v>
      </c>
      <c r="E27" s="20" t="s">
        <v>49</v>
      </c>
      <c r="F27" s="19" t="s">
        <v>50</v>
      </c>
      <c r="G27" s="30"/>
      <c r="H27" s="19" t="s">
        <v>178</v>
      </c>
      <c r="I27" s="34" t="s">
        <v>51</v>
      </c>
      <c r="J27" s="20" t="s">
        <v>180</v>
      </c>
      <c r="K27" s="35">
        <v>80.66</v>
      </c>
      <c r="L27" s="30">
        <v>6.6</v>
      </c>
      <c r="M27" s="30"/>
      <c r="N27" s="42">
        <v>88.11</v>
      </c>
      <c r="O27" s="42">
        <f t="shared" si="6"/>
        <v>7.45</v>
      </c>
      <c r="P27" s="35">
        <v>25811.2</v>
      </c>
      <c r="Q27" s="35">
        <v>1440</v>
      </c>
      <c r="R27" s="42">
        <f t="shared" ref="R27:R41" si="8">P27/K27</f>
        <v>320</v>
      </c>
      <c r="S27" s="42" t="s">
        <v>59</v>
      </c>
      <c r="T27" s="47" t="s">
        <v>181</v>
      </c>
      <c r="U27" s="19"/>
      <c r="V27" s="27">
        <v>95.91</v>
      </c>
      <c r="W27" s="50"/>
      <c r="X27" s="27">
        <v>95.91</v>
      </c>
      <c r="Y27" s="50">
        <f t="shared" si="0"/>
        <v>2384</v>
      </c>
      <c r="Z27" s="51"/>
      <c r="AA27" s="51">
        <f>N27*28</f>
        <v>2467.08</v>
      </c>
      <c r="AB27" s="51"/>
      <c r="AC27" s="51"/>
      <c r="AD27" s="51"/>
      <c r="AE27" s="51"/>
      <c r="AF27" s="51">
        <f>(95-88.11)*2800</f>
        <v>19292</v>
      </c>
      <c r="AG27" s="52"/>
      <c r="AH27" s="52">
        <f>0.91*1500</f>
        <v>1365</v>
      </c>
      <c r="AI27" s="52"/>
      <c r="AJ27" s="53">
        <f>Y27+AA27+AF27+AG27+AH27+AE27</f>
        <v>25508.08</v>
      </c>
      <c r="AK27" s="59">
        <f>AJ27*0.015</f>
        <v>382.62</v>
      </c>
      <c r="AL27" s="59">
        <f t="shared" si="2"/>
        <v>5538.8</v>
      </c>
      <c r="AM27" s="60">
        <v>1200</v>
      </c>
      <c r="AN27" s="59">
        <f t="shared" si="3"/>
        <v>32629.5</v>
      </c>
      <c r="AO27" s="64">
        <f t="shared" si="4"/>
        <v>12819.38</v>
      </c>
      <c r="AP27" s="65"/>
      <c r="AQ27" s="51"/>
    </row>
    <row r="28" s="3" customFormat="true" ht="38.25" customHeight="true" spans="1:43">
      <c r="A28" s="17" t="s">
        <v>182</v>
      </c>
      <c r="B28" s="18">
        <v>25</v>
      </c>
      <c r="C28" s="19" t="s">
        <v>183</v>
      </c>
      <c r="D28" s="20" t="s">
        <v>184</v>
      </c>
      <c r="E28" s="20" t="s">
        <v>131</v>
      </c>
      <c r="F28" s="19" t="s">
        <v>50</v>
      </c>
      <c r="G28" s="27"/>
      <c r="H28" s="19" t="s">
        <v>185</v>
      </c>
      <c r="I28" s="34" t="s">
        <v>51</v>
      </c>
      <c r="J28" s="20" t="s">
        <v>186</v>
      </c>
      <c r="K28" s="35">
        <v>62.35</v>
      </c>
      <c r="L28" s="35">
        <v>6.87</v>
      </c>
      <c r="M28" s="35"/>
      <c r="N28" s="42">
        <v>68.11</v>
      </c>
      <c r="O28" s="42">
        <f t="shared" si="6"/>
        <v>5.76</v>
      </c>
      <c r="P28" s="35">
        <v>19952</v>
      </c>
      <c r="Q28" s="35">
        <v>1648.8</v>
      </c>
      <c r="R28" s="42">
        <f t="shared" si="8"/>
        <v>320</v>
      </c>
      <c r="S28" s="42" t="s">
        <v>59</v>
      </c>
      <c r="T28" s="47" t="s">
        <v>187</v>
      </c>
      <c r="U28" s="49"/>
      <c r="V28" s="26">
        <v>85.19</v>
      </c>
      <c r="W28" s="27"/>
      <c r="X28" s="26">
        <v>85.19</v>
      </c>
      <c r="Y28" s="50">
        <f t="shared" si="0"/>
        <v>1843.2</v>
      </c>
      <c r="Z28" s="27"/>
      <c r="AA28" s="51">
        <f>N28*28</f>
        <v>1907.08</v>
      </c>
      <c r="AB28" s="27"/>
      <c r="AC28" s="27"/>
      <c r="AD28" s="27"/>
      <c r="AE28" s="52">
        <f>(75-68.11)*1500</f>
        <v>10335</v>
      </c>
      <c r="AF28" s="51"/>
      <c r="AG28" s="52">
        <v>34000</v>
      </c>
      <c r="AH28" s="51">
        <f>0.19*1500</f>
        <v>285</v>
      </c>
      <c r="AI28" s="27"/>
      <c r="AJ28" s="53">
        <f>Y28+AA28+AE28+AF28+AG28+AH28</f>
        <v>48370.28</v>
      </c>
      <c r="AK28" s="59">
        <f t="shared" ref="AK28:AK39" si="9">AJ28*0.01</f>
        <v>483.7</v>
      </c>
      <c r="AL28" s="59">
        <f t="shared" si="2"/>
        <v>4919.72</v>
      </c>
      <c r="AM28" s="60">
        <v>1200</v>
      </c>
      <c r="AN28" s="59">
        <f t="shared" si="3"/>
        <v>54973.7</v>
      </c>
      <c r="AO28" s="64">
        <f t="shared" si="4"/>
        <v>13343.81</v>
      </c>
      <c r="AP28" s="27"/>
      <c r="AQ28" s="49"/>
    </row>
    <row r="29" s="3" customFormat="true" ht="38.25" customHeight="true" spans="1:43">
      <c r="A29" s="17" t="s">
        <v>188</v>
      </c>
      <c r="B29" s="18">
        <v>26</v>
      </c>
      <c r="C29" s="19" t="s">
        <v>189</v>
      </c>
      <c r="D29" s="20" t="s">
        <v>190</v>
      </c>
      <c r="E29" s="20" t="s">
        <v>49</v>
      </c>
      <c r="F29" s="19" t="s">
        <v>50</v>
      </c>
      <c r="G29" s="27"/>
      <c r="H29" s="19" t="s">
        <v>189</v>
      </c>
      <c r="I29" s="34" t="s">
        <v>51</v>
      </c>
      <c r="J29" s="20" t="s">
        <v>191</v>
      </c>
      <c r="K29" s="35">
        <v>68.68</v>
      </c>
      <c r="L29" s="35">
        <v>6.87</v>
      </c>
      <c r="M29" s="35"/>
      <c r="N29" s="42">
        <v>75.03</v>
      </c>
      <c r="O29" s="42">
        <f t="shared" si="6"/>
        <v>6.35</v>
      </c>
      <c r="P29" s="35">
        <v>21977.6</v>
      </c>
      <c r="Q29" s="35">
        <v>1648.8</v>
      </c>
      <c r="R29" s="42">
        <f t="shared" si="8"/>
        <v>320</v>
      </c>
      <c r="S29" s="42" t="s">
        <v>59</v>
      </c>
      <c r="T29" s="47" t="s">
        <v>192</v>
      </c>
      <c r="U29" s="49"/>
      <c r="V29" s="27">
        <v>78.57</v>
      </c>
      <c r="W29" s="27">
        <v>1.64</v>
      </c>
      <c r="X29" s="27">
        <v>76.93</v>
      </c>
      <c r="Y29" s="50">
        <f t="shared" si="0"/>
        <v>2032</v>
      </c>
      <c r="Z29" s="27"/>
      <c r="AA29" s="51">
        <f>N29*28</f>
        <v>2100.84</v>
      </c>
      <c r="AB29" s="27"/>
      <c r="AC29" s="27"/>
      <c r="AD29" s="27"/>
      <c r="AE29" s="27"/>
      <c r="AF29" s="27"/>
      <c r="AG29" s="27"/>
      <c r="AH29" s="51">
        <f>(X29-N29)*1500</f>
        <v>2850.00000000001</v>
      </c>
      <c r="AI29" s="27"/>
      <c r="AJ29" s="53">
        <f>Y29+AA29+AE29+AF29+AG29+AH29</f>
        <v>6982.84</v>
      </c>
      <c r="AK29" s="59">
        <f t="shared" si="9"/>
        <v>69.83</v>
      </c>
      <c r="AL29" s="59">
        <f t="shared" si="2"/>
        <v>4537.42</v>
      </c>
      <c r="AM29" s="60">
        <v>1200</v>
      </c>
      <c r="AN29" s="59">
        <f t="shared" si="3"/>
        <v>12790.09</v>
      </c>
      <c r="AO29" s="64">
        <f t="shared" si="4"/>
        <v>13343.81</v>
      </c>
      <c r="AP29" s="27"/>
      <c r="AQ29" s="49"/>
    </row>
    <row r="30" s="3" customFormat="true" ht="38.25" customHeight="true" spans="1:43">
      <c r="A30" s="17" t="s">
        <v>193</v>
      </c>
      <c r="B30" s="18">
        <v>27</v>
      </c>
      <c r="C30" s="21" t="s">
        <v>194</v>
      </c>
      <c r="D30" s="25"/>
      <c r="E30" s="22" t="s">
        <v>103</v>
      </c>
      <c r="F30" s="21" t="s">
        <v>50</v>
      </c>
      <c r="G30" s="28"/>
      <c r="H30" s="21" t="s">
        <v>194</v>
      </c>
      <c r="I30" s="37" t="s">
        <v>51</v>
      </c>
      <c r="J30" s="25" t="s">
        <v>195</v>
      </c>
      <c r="K30" s="29">
        <v>60.91</v>
      </c>
      <c r="L30" s="30">
        <v>6.1</v>
      </c>
      <c r="M30" s="30"/>
      <c r="N30" s="27"/>
      <c r="O30" s="42"/>
      <c r="P30" s="43"/>
      <c r="Q30" s="43"/>
      <c r="R30" s="42">
        <f t="shared" si="8"/>
        <v>0</v>
      </c>
      <c r="S30" s="42" t="s">
        <v>59</v>
      </c>
      <c r="T30" s="47" t="s">
        <v>196</v>
      </c>
      <c r="U30" s="49"/>
      <c r="V30" s="27">
        <v>76.48</v>
      </c>
      <c r="W30" s="27"/>
      <c r="X30" s="27">
        <v>76.48</v>
      </c>
      <c r="Y30" s="50">
        <f t="shared" si="0"/>
        <v>0</v>
      </c>
      <c r="Z30" s="27"/>
      <c r="AA30" s="27"/>
      <c r="AB30" s="27"/>
      <c r="AC30" s="27"/>
      <c r="AD30" s="27">
        <f>(76.48-60.91)*2642</f>
        <v>41135.94</v>
      </c>
      <c r="AE30" s="27"/>
      <c r="AF30" s="27"/>
      <c r="AG30" s="27"/>
      <c r="AH30" s="27"/>
      <c r="AI30" s="27"/>
      <c r="AJ30" s="53">
        <f>Y30+AA30+AF30+AG30+AH30+AE30+AD30</f>
        <v>41135.94</v>
      </c>
      <c r="AK30" s="59">
        <f t="shared" si="9"/>
        <v>411.36</v>
      </c>
      <c r="AL30" s="59">
        <f t="shared" si="2"/>
        <v>4416.72</v>
      </c>
      <c r="AM30" s="60">
        <v>1200</v>
      </c>
      <c r="AN30" s="59">
        <f t="shared" si="3"/>
        <v>47164.02</v>
      </c>
      <c r="AO30" s="64">
        <f t="shared" si="4"/>
        <v>11848.21</v>
      </c>
      <c r="AP30" s="27"/>
      <c r="AQ30" s="49"/>
    </row>
    <row r="31" s="3" customFormat="true" ht="38.25" customHeight="true" spans="1:43">
      <c r="A31" s="23" t="s">
        <v>197</v>
      </c>
      <c r="B31" s="18">
        <v>28</v>
      </c>
      <c r="C31" s="19" t="s">
        <v>198</v>
      </c>
      <c r="D31" s="20" t="s">
        <v>199</v>
      </c>
      <c r="E31" s="20" t="s">
        <v>49</v>
      </c>
      <c r="F31" s="19" t="s">
        <v>50</v>
      </c>
      <c r="G31" s="30"/>
      <c r="H31" s="19" t="s">
        <v>198</v>
      </c>
      <c r="I31" s="34" t="s">
        <v>51</v>
      </c>
      <c r="J31" s="20" t="s">
        <v>200</v>
      </c>
      <c r="K31" s="35">
        <v>85.31</v>
      </c>
      <c r="L31" s="35">
        <v>6.16</v>
      </c>
      <c r="M31" s="35"/>
      <c r="N31" s="42">
        <v>93.19</v>
      </c>
      <c r="O31" s="42">
        <f t="shared" ref="O31:O41" si="10">N31-K31</f>
        <v>7.88</v>
      </c>
      <c r="P31" s="35">
        <v>28152.3</v>
      </c>
      <c r="Q31" s="35">
        <v>1478.4</v>
      </c>
      <c r="R31" s="42">
        <f t="shared" si="8"/>
        <v>330</v>
      </c>
      <c r="S31" s="42" t="s">
        <v>59</v>
      </c>
      <c r="T31" s="47" t="s">
        <v>201</v>
      </c>
      <c r="U31" s="19"/>
      <c r="V31" s="26">
        <v>85.71</v>
      </c>
      <c r="W31" s="50"/>
      <c r="X31" s="26">
        <v>85.71</v>
      </c>
      <c r="Y31" s="50">
        <f t="shared" si="0"/>
        <v>2600.4</v>
      </c>
      <c r="Z31" s="51"/>
      <c r="AA31" s="51">
        <f>V31*28</f>
        <v>2399.88</v>
      </c>
      <c r="AB31" s="51"/>
      <c r="AC31" s="51"/>
      <c r="AD31" s="51"/>
      <c r="AE31" s="51"/>
      <c r="AF31" s="51"/>
      <c r="AG31" s="51"/>
      <c r="AH31" s="51"/>
      <c r="AI31" s="51"/>
      <c r="AJ31" s="53">
        <f>Y31+AA31+AF31+AG31+AH31+AE31</f>
        <v>5000.28</v>
      </c>
      <c r="AK31" s="59">
        <f t="shared" si="9"/>
        <v>50</v>
      </c>
      <c r="AL31" s="59">
        <f t="shared" si="2"/>
        <v>4949.75</v>
      </c>
      <c r="AM31" s="60">
        <v>1200</v>
      </c>
      <c r="AN31" s="59">
        <f t="shared" si="3"/>
        <v>11200.03</v>
      </c>
      <c r="AO31" s="64">
        <f t="shared" si="4"/>
        <v>11964.75</v>
      </c>
      <c r="AP31" s="51">
        <f>(93.19-85.71)*1500</f>
        <v>11220</v>
      </c>
      <c r="AQ31" s="51"/>
    </row>
    <row r="32" s="3" customFormat="true" ht="38.25" customHeight="true" spans="1:43">
      <c r="A32" s="24" t="s">
        <v>202</v>
      </c>
      <c r="B32" s="18">
        <v>29</v>
      </c>
      <c r="C32" s="19" t="s">
        <v>203</v>
      </c>
      <c r="D32" s="20" t="s">
        <v>204</v>
      </c>
      <c r="E32" s="20" t="s">
        <v>49</v>
      </c>
      <c r="F32" s="19" t="s">
        <v>50</v>
      </c>
      <c r="G32" s="30"/>
      <c r="H32" s="19" t="s">
        <v>203</v>
      </c>
      <c r="I32" s="34" t="s">
        <v>51</v>
      </c>
      <c r="J32" s="20" t="s">
        <v>205</v>
      </c>
      <c r="K32" s="35">
        <v>61.9</v>
      </c>
      <c r="L32" s="35">
        <v>7.98</v>
      </c>
      <c r="M32" s="35"/>
      <c r="N32" s="42">
        <v>67.62</v>
      </c>
      <c r="O32" s="42">
        <f t="shared" si="10"/>
        <v>5.72</v>
      </c>
      <c r="P32" s="35">
        <v>17332</v>
      </c>
      <c r="Q32" s="35">
        <v>1915.2</v>
      </c>
      <c r="R32" s="42">
        <f t="shared" si="8"/>
        <v>280</v>
      </c>
      <c r="S32" s="42" t="s">
        <v>59</v>
      </c>
      <c r="T32" s="47" t="s">
        <v>206</v>
      </c>
      <c r="U32" s="19"/>
      <c r="V32" s="26">
        <v>85.71</v>
      </c>
      <c r="W32" s="50"/>
      <c r="X32" s="26">
        <v>85.71</v>
      </c>
      <c r="Y32" s="50">
        <f t="shared" si="0"/>
        <v>1601.6</v>
      </c>
      <c r="Z32" s="51"/>
      <c r="AA32" s="51">
        <f>N32*28</f>
        <v>1893.36</v>
      </c>
      <c r="AB32" s="51"/>
      <c r="AC32" s="51"/>
      <c r="AD32" s="51"/>
      <c r="AE32" s="52">
        <f>(75-67.62)*1500</f>
        <v>11070</v>
      </c>
      <c r="AF32" s="51"/>
      <c r="AG32" s="52">
        <v>34000</v>
      </c>
      <c r="AH32" s="51">
        <f>0.71*1500</f>
        <v>1065</v>
      </c>
      <c r="AI32" s="51"/>
      <c r="AJ32" s="53">
        <f>Y32+AA32+AE32+AF32+AG32+AH32</f>
        <v>49629.96</v>
      </c>
      <c r="AK32" s="59">
        <f t="shared" si="9"/>
        <v>496.3</v>
      </c>
      <c r="AL32" s="59">
        <f t="shared" si="2"/>
        <v>4949.75</v>
      </c>
      <c r="AM32" s="60">
        <v>1200</v>
      </c>
      <c r="AN32" s="59">
        <f t="shared" si="3"/>
        <v>56276.01</v>
      </c>
      <c r="AO32" s="64">
        <f t="shared" si="4"/>
        <v>15499.79</v>
      </c>
      <c r="AP32" s="51"/>
      <c r="AQ32" s="51"/>
    </row>
    <row r="33" s="3" customFormat="true" ht="38.25" customHeight="true" spans="1:43">
      <c r="A33" s="24" t="s">
        <v>207</v>
      </c>
      <c r="B33" s="18">
        <v>30</v>
      </c>
      <c r="C33" s="19" t="s">
        <v>208</v>
      </c>
      <c r="D33" s="20" t="s">
        <v>209</v>
      </c>
      <c r="E33" s="20" t="s">
        <v>49</v>
      </c>
      <c r="F33" s="19" t="s">
        <v>109</v>
      </c>
      <c r="G33" s="19" t="s">
        <v>210</v>
      </c>
      <c r="H33" s="19" t="s">
        <v>208</v>
      </c>
      <c r="I33" s="34" t="s">
        <v>51</v>
      </c>
      <c r="J33" s="20" t="s">
        <v>211</v>
      </c>
      <c r="K33" s="35">
        <v>61.5</v>
      </c>
      <c r="L33" s="35">
        <v>7.98</v>
      </c>
      <c r="M33" s="35"/>
      <c r="N33" s="42">
        <v>67.18</v>
      </c>
      <c r="O33" s="42">
        <f t="shared" si="10"/>
        <v>5.68</v>
      </c>
      <c r="P33" s="35">
        <v>17220</v>
      </c>
      <c r="Q33" s="35">
        <v>1915.2</v>
      </c>
      <c r="R33" s="42">
        <f t="shared" si="8"/>
        <v>280</v>
      </c>
      <c r="S33" s="42" t="s">
        <v>59</v>
      </c>
      <c r="T33" s="47" t="s">
        <v>212</v>
      </c>
      <c r="U33" s="19"/>
      <c r="V33" s="26">
        <v>85.71</v>
      </c>
      <c r="W33" s="50"/>
      <c r="X33" s="26">
        <v>85.71</v>
      </c>
      <c r="Y33" s="50">
        <f t="shared" si="0"/>
        <v>1590.4</v>
      </c>
      <c r="Z33" s="51"/>
      <c r="AA33" s="51">
        <f>N33*28</f>
        <v>1881.04</v>
      </c>
      <c r="AB33" s="51"/>
      <c r="AC33" s="51"/>
      <c r="AD33" s="52"/>
      <c r="AE33" s="52">
        <f>(75-67.18)*1500</f>
        <v>11730</v>
      </c>
      <c r="AF33" s="51"/>
      <c r="AG33" s="52"/>
      <c r="AH33" s="51">
        <f>0.71*1500</f>
        <v>1065</v>
      </c>
      <c r="AI33" s="52">
        <v>15000</v>
      </c>
      <c r="AJ33" s="53">
        <f>Y33+AA33+AE33+AF33+AG33+AH33+AI33</f>
        <v>31266.44</v>
      </c>
      <c r="AK33" s="59">
        <f t="shared" si="9"/>
        <v>312.66</v>
      </c>
      <c r="AL33" s="59">
        <f t="shared" si="2"/>
        <v>4949.75</v>
      </c>
      <c r="AM33" s="60">
        <v>1200</v>
      </c>
      <c r="AN33" s="59">
        <f t="shared" si="3"/>
        <v>37728.85</v>
      </c>
      <c r="AO33" s="64">
        <f t="shared" si="4"/>
        <v>15499.79</v>
      </c>
      <c r="AP33" s="65"/>
      <c r="AQ33" s="52"/>
    </row>
    <row r="34" s="3" customFormat="true" ht="38.25" customHeight="true" spans="1:43">
      <c r="A34" s="23" t="s">
        <v>213</v>
      </c>
      <c r="B34" s="18">
        <v>31</v>
      </c>
      <c r="C34" s="19" t="s">
        <v>214</v>
      </c>
      <c r="D34" s="20" t="s">
        <v>215</v>
      </c>
      <c r="E34" s="20" t="s">
        <v>49</v>
      </c>
      <c r="F34" s="19" t="s">
        <v>50</v>
      </c>
      <c r="G34" s="30"/>
      <c r="H34" s="19" t="s">
        <v>214</v>
      </c>
      <c r="I34" s="34" t="s">
        <v>51</v>
      </c>
      <c r="J34" s="20" t="s">
        <v>216</v>
      </c>
      <c r="K34" s="35">
        <v>60.7</v>
      </c>
      <c r="L34" s="30">
        <v>7.98</v>
      </c>
      <c r="M34" s="30"/>
      <c r="N34" s="42">
        <v>66.31</v>
      </c>
      <c r="O34" s="42">
        <f t="shared" si="10"/>
        <v>5.61</v>
      </c>
      <c r="P34" s="35">
        <v>16996</v>
      </c>
      <c r="Q34" s="35">
        <v>1915.2</v>
      </c>
      <c r="R34" s="42">
        <f t="shared" si="8"/>
        <v>280</v>
      </c>
      <c r="S34" s="42" t="s">
        <v>59</v>
      </c>
      <c r="T34" s="47" t="s">
        <v>217</v>
      </c>
      <c r="U34" s="19"/>
      <c r="V34" s="26">
        <v>85.71</v>
      </c>
      <c r="W34" s="50"/>
      <c r="X34" s="26">
        <v>85.71</v>
      </c>
      <c r="Y34" s="50">
        <f t="shared" si="0"/>
        <v>1570.8</v>
      </c>
      <c r="Z34" s="51"/>
      <c r="AA34" s="51">
        <f>N34*28</f>
        <v>1856.68</v>
      </c>
      <c r="AB34" s="51"/>
      <c r="AC34" s="51"/>
      <c r="AD34" s="51"/>
      <c r="AE34" s="51">
        <f>(75-66.31)*1500</f>
        <v>13035</v>
      </c>
      <c r="AF34" s="51"/>
      <c r="AG34" s="51">
        <v>34000</v>
      </c>
      <c r="AH34" s="51">
        <f>0.71*1500</f>
        <v>1065</v>
      </c>
      <c r="AI34" s="51"/>
      <c r="AJ34" s="53">
        <f>Y34+AA34+AE34+AF34+AG34+AH34</f>
        <v>51527.48</v>
      </c>
      <c r="AK34" s="59">
        <f t="shared" si="9"/>
        <v>515.27</v>
      </c>
      <c r="AL34" s="59">
        <f t="shared" si="2"/>
        <v>4949.75</v>
      </c>
      <c r="AM34" s="60">
        <v>1200</v>
      </c>
      <c r="AN34" s="59">
        <f t="shared" si="3"/>
        <v>58192.5</v>
      </c>
      <c r="AO34" s="64">
        <f t="shared" si="4"/>
        <v>15499.79</v>
      </c>
      <c r="AP34" s="51"/>
      <c r="AQ34" s="51"/>
    </row>
    <row r="35" s="3" customFormat="true" ht="38.25" customHeight="true" spans="1:43">
      <c r="A35" s="24" t="s">
        <v>218</v>
      </c>
      <c r="B35" s="18">
        <v>32</v>
      </c>
      <c r="C35" s="19" t="s">
        <v>219</v>
      </c>
      <c r="D35" s="20" t="s">
        <v>220</v>
      </c>
      <c r="E35" s="20" t="s">
        <v>49</v>
      </c>
      <c r="F35" s="19" t="s">
        <v>109</v>
      </c>
      <c r="G35" s="31" t="s">
        <v>221</v>
      </c>
      <c r="H35" s="19" t="s">
        <v>219</v>
      </c>
      <c r="I35" s="34" t="s">
        <v>51</v>
      </c>
      <c r="J35" s="20" t="s">
        <v>222</v>
      </c>
      <c r="K35" s="35">
        <v>66.55</v>
      </c>
      <c r="L35" s="35">
        <v>6.6</v>
      </c>
      <c r="M35" s="35"/>
      <c r="N35" s="42">
        <v>72.7</v>
      </c>
      <c r="O35" s="42">
        <f t="shared" si="10"/>
        <v>6.15</v>
      </c>
      <c r="P35" s="35">
        <v>21296</v>
      </c>
      <c r="Q35" s="35">
        <v>1440</v>
      </c>
      <c r="R35" s="42">
        <f t="shared" si="8"/>
        <v>320</v>
      </c>
      <c r="S35" s="42" t="s">
        <v>59</v>
      </c>
      <c r="T35" s="47" t="s">
        <v>223</v>
      </c>
      <c r="U35" s="19"/>
      <c r="V35" s="26">
        <v>85.71</v>
      </c>
      <c r="W35" s="50"/>
      <c r="X35" s="26">
        <v>85.71</v>
      </c>
      <c r="Y35" s="50">
        <f t="shared" si="0"/>
        <v>1968</v>
      </c>
      <c r="Z35" s="51"/>
      <c r="AA35" s="51">
        <f>N35*28</f>
        <v>2035.6</v>
      </c>
      <c r="AB35" s="51"/>
      <c r="AC35" s="52"/>
      <c r="AD35" s="52"/>
      <c r="AE35" s="27">
        <f>(75-72.7)*1500</f>
        <v>3450</v>
      </c>
      <c r="AF35" s="52"/>
      <c r="AG35" s="52"/>
      <c r="AH35" s="51">
        <f>0.71*1500</f>
        <v>1065</v>
      </c>
      <c r="AI35" s="52">
        <v>15000</v>
      </c>
      <c r="AJ35" s="53">
        <f>Y35+AA35+AE35+AF35+AG35+AH35+AI35</f>
        <v>23518.6</v>
      </c>
      <c r="AK35" s="59">
        <f t="shared" si="9"/>
        <v>235.19</v>
      </c>
      <c r="AL35" s="59">
        <f t="shared" si="2"/>
        <v>4949.75</v>
      </c>
      <c r="AM35" s="60">
        <v>1200</v>
      </c>
      <c r="AN35" s="59">
        <f t="shared" si="3"/>
        <v>29903.54</v>
      </c>
      <c r="AO35" s="64">
        <f t="shared" si="4"/>
        <v>12819.38</v>
      </c>
      <c r="AP35" s="65"/>
      <c r="AQ35" s="52"/>
    </row>
    <row r="36" s="3" customFormat="true" ht="38.25" customHeight="true" spans="1:43">
      <c r="A36" s="17" t="s">
        <v>224</v>
      </c>
      <c r="B36" s="18">
        <v>33</v>
      </c>
      <c r="C36" s="19" t="s">
        <v>225</v>
      </c>
      <c r="D36" s="20" t="s">
        <v>226</v>
      </c>
      <c r="E36" s="20" t="s">
        <v>131</v>
      </c>
      <c r="F36" s="19" t="s">
        <v>50</v>
      </c>
      <c r="G36" s="27"/>
      <c r="H36" s="19" t="s">
        <v>227</v>
      </c>
      <c r="I36" s="34" t="s">
        <v>51</v>
      </c>
      <c r="J36" s="20" t="s">
        <v>228</v>
      </c>
      <c r="K36" s="35">
        <v>60.91</v>
      </c>
      <c r="L36" s="35">
        <v>6.87</v>
      </c>
      <c r="M36" s="35"/>
      <c r="N36" s="42">
        <v>66.54</v>
      </c>
      <c r="O36" s="42">
        <f t="shared" si="10"/>
        <v>5.63</v>
      </c>
      <c r="P36" s="35">
        <v>19491.2</v>
      </c>
      <c r="Q36" s="35">
        <v>1648.8</v>
      </c>
      <c r="R36" s="42">
        <f t="shared" si="8"/>
        <v>320</v>
      </c>
      <c r="S36" s="42" t="s">
        <v>59</v>
      </c>
      <c r="T36" s="47" t="s">
        <v>229</v>
      </c>
      <c r="U36" s="49"/>
      <c r="V36" s="26">
        <v>85.71</v>
      </c>
      <c r="W36" s="27"/>
      <c r="X36" s="26">
        <v>85.71</v>
      </c>
      <c r="Y36" s="50">
        <f t="shared" ref="Y36:Y66" si="11">O36*R36</f>
        <v>1801.6</v>
      </c>
      <c r="Z36" s="27"/>
      <c r="AA36" s="51">
        <f>N36*28</f>
        <v>1863.12</v>
      </c>
      <c r="AB36" s="27"/>
      <c r="AC36" s="27"/>
      <c r="AD36" s="27"/>
      <c r="AE36" s="27">
        <f>(75-66.54)*1500</f>
        <v>12690</v>
      </c>
      <c r="AF36" s="27"/>
      <c r="AG36" s="27">
        <v>34000</v>
      </c>
      <c r="AH36" s="51">
        <f>0.71*1500</f>
        <v>1065</v>
      </c>
      <c r="AI36" s="27"/>
      <c r="AJ36" s="53">
        <f>Y36+AA36+AE36+AF36+AG36+AH36</f>
        <v>51419.72</v>
      </c>
      <c r="AK36" s="59">
        <f t="shared" si="9"/>
        <v>514.2</v>
      </c>
      <c r="AL36" s="59">
        <f t="shared" ref="AL36:AL66" si="12">V36*1155*0.05</f>
        <v>4949.75</v>
      </c>
      <c r="AM36" s="60">
        <v>1200</v>
      </c>
      <c r="AN36" s="59">
        <f t="shared" si="3"/>
        <v>58083.67</v>
      </c>
      <c r="AO36" s="64">
        <f t="shared" ref="AO36:AO66" si="13">L36*1942.33</f>
        <v>13343.81</v>
      </c>
      <c r="AP36" s="27"/>
      <c r="AQ36" s="49"/>
    </row>
    <row r="37" s="3" customFormat="true" ht="38.25" customHeight="true" spans="1:43">
      <c r="A37" s="23" t="s">
        <v>230</v>
      </c>
      <c r="B37" s="18">
        <v>34</v>
      </c>
      <c r="C37" s="19" t="s">
        <v>231</v>
      </c>
      <c r="D37" s="20" t="s">
        <v>232</v>
      </c>
      <c r="E37" s="20" t="s">
        <v>49</v>
      </c>
      <c r="F37" s="19" t="s">
        <v>50</v>
      </c>
      <c r="G37" s="26"/>
      <c r="H37" s="19" t="s">
        <v>231</v>
      </c>
      <c r="I37" s="34" t="s">
        <v>51</v>
      </c>
      <c r="J37" s="20" t="s">
        <v>233</v>
      </c>
      <c r="K37" s="35">
        <v>80.66</v>
      </c>
      <c r="L37" s="30">
        <v>6.6</v>
      </c>
      <c r="M37" s="30"/>
      <c r="N37" s="42">
        <v>88.11</v>
      </c>
      <c r="O37" s="42">
        <f t="shared" si="10"/>
        <v>7.45</v>
      </c>
      <c r="P37" s="35">
        <v>25811.2</v>
      </c>
      <c r="Q37" s="35">
        <v>1440</v>
      </c>
      <c r="R37" s="42">
        <f t="shared" si="8"/>
        <v>320</v>
      </c>
      <c r="S37" s="42" t="s">
        <v>59</v>
      </c>
      <c r="T37" s="47" t="s">
        <v>234</v>
      </c>
      <c r="U37" s="19"/>
      <c r="V37" s="26">
        <v>85.44</v>
      </c>
      <c r="W37" s="50"/>
      <c r="X37" s="26">
        <v>85.44</v>
      </c>
      <c r="Y37" s="50">
        <f t="shared" si="11"/>
        <v>2384</v>
      </c>
      <c r="Z37" s="51"/>
      <c r="AA37" s="51">
        <f>V37*28</f>
        <v>2392.32</v>
      </c>
      <c r="AB37" s="51"/>
      <c r="AC37" s="51"/>
      <c r="AD37" s="51"/>
      <c r="AE37" s="51"/>
      <c r="AF37" s="51"/>
      <c r="AG37" s="51"/>
      <c r="AH37" s="51"/>
      <c r="AI37" s="51"/>
      <c r="AJ37" s="53">
        <f>Y37+AA37+AF37+AG37+AH37+AE37</f>
        <v>4776.32</v>
      </c>
      <c r="AK37" s="59">
        <f t="shared" si="9"/>
        <v>47.76</v>
      </c>
      <c r="AL37" s="59">
        <f t="shared" si="12"/>
        <v>4934.16</v>
      </c>
      <c r="AM37" s="60">
        <v>1200</v>
      </c>
      <c r="AN37" s="59">
        <f t="shared" ref="AN37:AN67" si="14">SUM(AJ37:AM37)</f>
        <v>10958.24</v>
      </c>
      <c r="AO37" s="64">
        <f t="shared" si="13"/>
        <v>12819.38</v>
      </c>
      <c r="AP37" s="51">
        <f>(88.11-85.44)*1500</f>
        <v>4005</v>
      </c>
      <c r="AQ37" s="51"/>
    </row>
    <row r="38" s="3" customFormat="true" ht="38.25" customHeight="true" spans="1:43">
      <c r="A38" s="23" t="s">
        <v>235</v>
      </c>
      <c r="B38" s="18">
        <v>35</v>
      </c>
      <c r="C38" s="19" t="s">
        <v>236</v>
      </c>
      <c r="D38" s="20" t="s">
        <v>237</v>
      </c>
      <c r="E38" s="20" t="s">
        <v>49</v>
      </c>
      <c r="F38" s="19" t="s">
        <v>50</v>
      </c>
      <c r="G38" s="30"/>
      <c r="H38" s="19" t="s">
        <v>236</v>
      </c>
      <c r="I38" s="34" t="s">
        <v>51</v>
      </c>
      <c r="J38" s="20" t="s">
        <v>238</v>
      </c>
      <c r="K38" s="35">
        <v>69.86</v>
      </c>
      <c r="L38" s="35">
        <v>6.16</v>
      </c>
      <c r="M38" s="35"/>
      <c r="N38" s="42">
        <v>76.32</v>
      </c>
      <c r="O38" s="42">
        <f t="shared" si="10"/>
        <v>6.46</v>
      </c>
      <c r="P38" s="35">
        <v>23053.8</v>
      </c>
      <c r="Q38" s="35">
        <v>1478.4</v>
      </c>
      <c r="R38" s="42">
        <f t="shared" si="8"/>
        <v>330</v>
      </c>
      <c r="S38" s="42" t="s">
        <v>59</v>
      </c>
      <c r="T38" s="47" t="s">
        <v>239</v>
      </c>
      <c r="U38" s="19"/>
      <c r="V38" s="26">
        <v>85.44</v>
      </c>
      <c r="W38" s="50"/>
      <c r="X38" s="26">
        <v>85.44</v>
      </c>
      <c r="Y38" s="50">
        <f t="shared" si="11"/>
        <v>2131.8</v>
      </c>
      <c r="Z38" s="51"/>
      <c r="AA38" s="51">
        <f>N38*28</f>
        <v>2136.96</v>
      </c>
      <c r="AB38" s="51"/>
      <c r="AC38" s="51"/>
      <c r="AD38" s="51"/>
      <c r="AE38" s="51"/>
      <c r="AF38" s="51">
        <f>(85-76.32)*2800</f>
        <v>24304</v>
      </c>
      <c r="AG38" s="51"/>
      <c r="AH38" s="51">
        <f>0.44*1500</f>
        <v>660</v>
      </c>
      <c r="AI38" s="51"/>
      <c r="AJ38" s="53">
        <f>Y38+AA38+AE38+AF38+AG38+AH38</f>
        <v>29232.76</v>
      </c>
      <c r="AK38" s="59">
        <f t="shared" si="9"/>
        <v>292.33</v>
      </c>
      <c r="AL38" s="59">
        <f t="shared" si="12"/>
        <v>4934.16</v>
      </c>
      <c r="AM38" s="60">
        <v>1200</v>
      </c>
      <c r="AN38" s="59">
        <f t="shared" si="14"/>
        <v>35659.25</v>
      </c>
      <c r="AO38" s="64">
        <f t="shared" si="13"/>
        <v>11964.75</v>
      </c>
      <c r="AP38" s="51"/>
      <c r="AQ38" s="51"/>
    </row>
    <row r="39" s="3" customFormat="true" ht="38.25" customHeight="true" spans="1:43">
      <c r="A39" s="23" t="s">
        <v>240</v>
      </c>
      <c r="B39" s="18">
        <v>36</v>
      </c>
      <c r="C39" s="19" t="s">
        <v>241</v>
      </c>
      <c r="D39" s="20" t="s">
        <v>242</v>
      </c>
      <c r="E39" s="20" t="s">
        <v>49</v>
      </c>
      <c r="F39" s="19" t="s">
        <v>50</v>
      </c>
      <c r="G39" s="29"/>
      <c r="H39" s="19" t="s">
        <v>241</v>
      </c>
      <c r="I39" s="34" t="s">
        <v>51</v>
      </c>
      <c r="J39" s="20" t="s">
        <v>243</v>
      </c>
      <c r="K39" s="35">
        <v>62.35</v>
      </c>
      <c r="L39" s="35">
        <v>6.87</v>
      </c>
      <c r="M39" s="35"/>
      <c r="N39" s="42">
        <v>68.11</v>
      </c>
      <c r="O39" s="42">
        <f t="shared" si="10"/>
        <v>5.76</v>
      </c>
      <c r="P39" s="35">
        <v>19952</v>
      </c>
      <c r="Q39" s="35">
        <v>1648.8</v>
      </c>
      <c r="R39" s="42">
        <f t="shared" si="8"/>
        <v>320</v>
      </c>
      <c r="S39" s="42" t="s">
        <v>59</v>
      </c>
      <c r="T39" s="47" t="s">
        <v>244</v>
      </c>
      <c r="U39" s="19"/>
      <c r="V39" s="26">
        <v>85.44</v>
      </c>
      <c r="W39" s="50"/>
      <c r="X39" s="26">
        <v>85.44</v>
      </c>
      <c r="Y39" s="50">
        <f t="shared" si="11"/>
        <v>1843.2</v>
      </c>
      <c r="Z39" s="51"/>
      <c r="AA39" s="51">
        <f>N39*28</f>
        <v>1907.08</v>
      </c>
      <c r="AB39" s="51"/>
      <c r="AC39" s="51"/>
      <c r="AD39" s="51"/>
      <c r="AE39" s="52">
        <f>(75-68.11)*1500</f>
        <v>10335</v>
      </c>
      <c r="AF39" s="51"/>
      <c r="AG39" s="52">
        <v>34000</v>
      </c>
      <c r="AH39" s="51">
        <f>0.44*1500</f>
        <v>660</v>
      </c>
      <c r="AI39" s="51"/>
      <c r="AJ39" s="53">
        <f>Y39+AA39+AE39+AF39+AG39+AH39</f>
        <v>48745.28</v>
      </c>
      <c r="AK39" s="59">
        <f t="shared" si="9"/>
        <v>487.45</v>
      </c>
      <c r="AL39" s="59">
        <f t="shared" si="12"/>
        <v>4934.16</v>
      </c>
      <c r="AM39" s="60">
        <v>1200</v>
      </c>
      <c r="AN39" s="59">
        <f t="shared" si="14"/>
        <v>55366.89</v>
      </c>
      <c r="AO39" s="64">
        <f t="shared" si="13"/>
        <v>13343.81</v>
      </c>
      <c r="AP39" s="51"/>
      <c r="AQ39" s="51"/>
    </row>
    <row r="40" s="3" customFormat="true" ht="38.25" customHeight="true" spans="1:43">
      <c r="A40" s="23" t="s">
        <v>245</v>
      </c>
      <c r="B40" s="18">
        <v>37</v>
      </c>
      <c r="C40" s="19" t="s">
        <v>246</v>
      </c>
      <c r="D40" s="20" t="s">
        <v>247</v>
      </c>
      <c r="E40" s="20" t="s">
        <v>49</v>
      </c>
      <c r="F40" s="19" t="s">
        <v>50</v>
      </c>
      <c r="G40" s="30"/>
      <c r="H40" s="19" t="s">
        <v>246</v>
      </c>
      <c r="I40" s="34" t="s">
        <v>51</v>
      </c>
      <c r="J40" s="20" t="s">
        <v>248</v>
      </c>
      <c r="K40" s="35">
        <v>81.34</v>
      </c>
      <c r="L40" s="20" t="s">
        <v>249</v>
      </c>
      <c r="M40" s="20"/>
      <c r="N40" s="42">
        <v>88.86</v>
      </c>
      <c r="O40" s="42">
        <f t="shared" si="10"/>
        <v>7.52</v>
      </c>
      <c r="P40" s="35">
        <v>26028.8</v>
      </c>
      <c r="Q40" s="35">
        <v>1624.8</v>
      </c>
      <c r="R40" s="42">
        <f t="shared" si="8"/>
        <v>320</v>
      </c>
      <c r="S40" s="42" t="s">
        <v>59</v>
      </c>
      <c r="T40" s="47" t="s">
        <v>250</v>
      </c>
      <c r="U40" s="19"/>
      <c r="V40" s="19">
        <v>96.2</v>
      </c>
      <c r="W40" s="50"/>
      <c r="X40" s="19">
        <v>96.2</v>
      </c>
      <c r="Y40" s="50">
        <f t="shared" si="11"/>
        <v>2406.4</v>
      </c>
      <c r="Z40" s="51"/>
      <c r="AA40" s="51">
        <f>N40*28</f>
        <v>2488.08</v>
      </c>
      <c r="AB40" s="51"/>
      <c r="AC40" s="51"/>
      <c r="AD40" s="51"/>
      <c r="AE40" s="51"/>
      <c r="AF40" s="51">
        <f>(95-88.86)*2800</f>
        <v>17192</v>
      </c>
      <c r="AG40" s="51"/>
      <c r="AH40" s="51">
        <f>1.2*1500</f>
        <v>1800</v>
      </c>
      <c r="AI40" s="51"/>
      <c r="AJ40" s="53">
        <f>Y40+AA40+AF40+AG40+AH40+AE40</f>
        <v>23886.48</v>
      </c>
      <c r="AK40" s="59">
        <f t="shared" ref="AK40:AK54" si="15">AJ40*0.015</f>
        <v>358.3</v>
      </c>
      <c r="AL40" s="59">
        <f t="shared" si="12"/>
        <v>5555.55</v>
      </c>
      <c r="AM40" s="60">
        <v>1200</v>
      </c>
      <c r="AN40" s="59">
        <f t="shared" si="14"/>
        <v>31000.33</v>
      </c>
      <c r="AO40" s="64">
        <f t="shared" si="13"/>
        <v>13149.57</v>
      </c>
      <c r="AP40" s="51"/>
      <c r="AQ40" s="51"/>
    </row>
    <row r="41" s="3" customFormat="true" ht="38.25" customHeight="true" spans="1:43">
      <c r="A41" s="23" t="s">
        <v>251</v>
      </c>
      <c r="B41" s="18">
        <v>38</v>
      </c>
      <c r="C41" s="19" t="s">
        <v>252</v>
      </c>
      <c r="D41" s="20" t="s">
        <v>253</v>
      </c>
      <c r="E41" s="20" t="s">
        <v>49</v>
      </c>
      <c r="F41" s="19" t="s">
        <v>50</v>
      </c>
      <c r="G41" s="30"/>
      <c r="H41" s="19" t="s">
        <v>252</v>
      </c>
      <c r="I41" s="34" t="s">
        <v>51</v>
      </c>
      <c r="J41" s="20" t="s">
        <v>254</v>
      </c>
      <c r="K41" s="35">
        <v>80.66</v>
      </c>
      <c r="L41" s="35">
        <v>6.6</v>
      </c>
      <c r="M41" s="35"/>
      <c r="N41" s="42">
        <v>88.11</v>
      </c>
      <c r="O41" s="42">
        <f t="shared" si="10"/>
        <v>7.45</v>
      </c>
      <c r="P41" s="35">
        <v>25811.2</v>
      </c>
      <c r="Q41" s="35">
        <v>1440</v>
      </c>
      <c r="R41" s="42">
        <f t="shared" si="8"/>
        <v>320</v>
      </c>
      <c r="S41" s="42" t="s">
        <v>59</v>
      </c>
      <c r="T41" s="47" t="s">
        <v>255</v>
      </c>
      <c r="U41" s="19"/>
      <c r="V41" s="19">
        <v>96.2</v>
      </c>
      <c r="W41" s="50"/>
      <c r="X41" s="19">
        <v>96.2</v>
      </c>
      <c r="Y41" s="50">
        <f t="shared" si="11"/>
        <v>2384</v>
      </c>
      <c r="Z41" s="51"/>
      <c r="AA41" s="51">
        <f>N41*28</f>
        <v>2467.08</v>
      </c>
      <c r="AB41" s="51"/>
      <c r="AC41" s="51"/>
      <c r="AD41" s="51"/>
      <c r="AE41" s="51"/>
      <c r="AF41" s="51">
        <f>(95-88.11)*2800</f>
        <v>19292</v>
      </c>
      <c r="AG41" s="51"/>
      <c r="AH41" s="51">
        <f>1.2*1500</f>
        <v>1800</v>
      </c>
      <c r="AI41" s="51"/>
      <c r="AJ41" s="53">
        <f>Y41+AA41+AF41+AG41+AH41+AE41</f>
        <v>25943.08</v>
      </c>
      <c r="AK41" s="59">
        <f t="shared" si="15"/>
        <v>389.15</v>
      </c>
      <c r="AL41" s="59">
        <f t="shared" si="12"/>
        <v>5555.55</v>
      </c>
      <c r="AM41" s="60">
        <v>1200</v>
      </c>
      <c r="AN41" s="59">
        <f t="shared" si="14"/>
        <v>33087.78</v>
      </c>
      <c r="AO41" s="64">
        <f t="shared" si="13"/>
        <v>12819.38</v>
      </c>
      <c r="AP41" s="51"/>
      <c r="AQ41" s="51"/>
    </row>
    <row r="42" s="3" customFormat="true" ht="38.25" customHeight="true" spans="1:43">
      <c r="A42" s="23" t="s">
        <v>256</v>
      </c>
      <c r="B42" s="18">
        <v>39</v>
      </c>
      <c r="C42" s="19" t="s">
        <v>257</v>
      </c>
      <c r="D42" s="20" t="s">
        <v>258</v>
      </c>
      <c r="E42" s="20" t="s">
        <v>49</v>
      </c>
      <c r="F42" s="19" t="s">
        <v>50</v>
      </c>
      <c r="G42" s="30"/>
      <c r="H42" s="19" t="s">
        <v>257</v>
      </c>
      <c r="I42" s="34" t="s">
        <v>51</v>
      </c>
      <c r="J42" s="20" t="s">
        <v>259</v>
      </c>
      <c r="K42" s="35">
        <v>81.34</v>
      </c>
      <c r="L42" s="35">
        <v>6.77</v>
      </c>
      <c r="M42" s="35"/>
      <c r="N42" s="42">
        <v>88.86</v>
      </c>
      <c r="O42" s="42">
        <f t="shared" ref="O42:O74" si="16">N42-K42</f>
        <v>7.52</v>
      </c>
      <c r="P42" s="35">
        <v>26028.8</v>
      </c>
      <c r="Q42" s="35">
        <v>1624.8</v>
      </c>
      <c r="R42" s="42">
        <f t="shared" ref="R42:R74" si="17">P42/K42</f>
        <v>320</v>
      </c>
      <c r="S42" s="42" t="s">
        <v>59</v>
      </c>
      <c r="T42" s="47" t="s">
        <v>260</v>
      </c>
      <c r="U42" s="19"/>
      <c r="V42" s="19">
        <v>96.2</v>
      </c>
      <c r="W42" s="50"/>
      <c r="X42" s="19">
        <v>96.2</v>
      </c>
      <c r="Y42" s="50">
        <f t="shared" si="11"/>
        <v>2406.4</v>
      </c>
      <c r="Z42" s="51"/>
      <c r="AA42" s="51">
        <f t="shared" ref="AA42:AA53" si="18">N42*28</f>
        <v>2488.08</v>
      </c>
      <c r="AB42" s="51"/>
      <c r="AC42" s="51"/>
      <c r="AD42" s="51"/>
      <c r="AE42" s="51"/>
      <c r="AF42" s="51">
        <f>(95-88.86)*2800</f>
        <v>17192</v>
      </c>
      <c r="AG42" s="51"/>
      <c r="AH42" s="51">
        <f>1.2*1500</f>
        <v>1800</v>
      </c>
      <c r="AI42" s="51"/>
      <c r="AJ42" s="53">
        <f>Y42+AA42+AF42+AG42+AH42+AE42</f>
        <v>23886.48</v>
      </c>
      <c r="AK42" s="59">
        <f t="shared" si="15"/>
        <v>358.3</v>
      </c>
      <c r="AL42" s="59">
        <f t="shared" si="12"/>
        <v>5555.55</v>
      </c>
      <c r="AM42" s="60">
        <v>1200</v>
      </c>
      <c r="AN42" s="59">
        <f t="shared" si="14"/>
        <v>31000.33</v>
      </c>
      <c r="AO42" s="64">
        <f t="shared" si="13"/>
        <v>13149.57</v>
      </c>
      <c r="AP42" s="51"/>
      <c r="AQ42" s="51"/>
    </row>
    <row r="43" s="3" customFormat="true" ht="38.25" customHeight="true" spans="1:43">
      <c r="A43" s="17" t="s">
        <v>261</v>
      </c>
      <c r="B43" s="18">
        <v>40</v>
      </c>
      <c r="C43" s="19" t="s">
        <v>262</v>
      </c>
      <c r="D43" s="20" t="s">
        <v>263</v>
      </c>
      <c r="E43" s="20" t="s">
        <v>131</v>
      </c>
      <c r="F43" s="19" t="s">
        <v>50</v>
      </c>
      <c r="G43" s="27"/>
      <c r="H43" s="19" t="s">
        <v>262</v>
      </c>
      <c r="I43" s="34" t="s">
        <v>51</v>
      </c>
      <c r="J43" s="20" t="s">
        <v>264</v>
      </c>
      <c r="K43" s="35">
        <v>62.35</v>
      </c>
      <c r="L43" s="35">
        <v>6.87</v>
      </c>
      <c r="M43" s="35"/>
      <c r="N43" s="42">
        <v>68.11</v>
      </c>
      <c r="O43" s="42">
        <f t="shared" si="16"/>
        <v>5.76</v>
      </c>
      <c r="P43" s="35">
        <v>19952</v>
      </c>
      <c r="Q43" s="35">
        <v>1648.8</v>
      </c>
      <c r="R43" s="42">
        <f t="shared" si="17"/>
        <v>320</v>
      </c>
      <c r="S43" s="42" t="s">
        <v>59</v>
      </c>
      <c r="T43" s="47" t="s">
        <v>265</v>
      </c>
      <c r="U43" s="49"/>
      <c r="V43" s="27">
        <v>95.38</v>
      </c>
      <c r="W43" s="27"/>
      <c r="X43" s="27">
        <v>95.38</v>
      </c>
      <c r="Y43" s="50">
        <f t="shared" si="11"/>
        <v>1843.2</v>
      </c>
      <c r="Z43" s="27"/>
      <c r="AA43" s="51">
        <f t="shared" si="18"/>
        <v>1907.08</v>
      </c>
      <c r="AB43" s="27"/>
      <c r="AC43" s="27"/>
      <c r="AD43" s="27"/>
      <c r="AE43" s="52">
        <f>(75-68.11)*1500</f>
        <v>10335</v>
      </c>
      <c r="AF43" s="27"/>
      <c r="AG43" s="27">
        <f>20*3400</f>
        <v>68000</v>
      </c>
      <c r="AH43" s="27">
        <f t="shared" ref="AH43:AH53" si="19">0.38*1500</f>
        <v>570</v>
      </c>
      <c r="AI43" s="27"/>
      <c r="AJ43" s="53">
        <f>Y43+AA43+AE43+AF43+AG43+AH43</f>
        <v>82655.28</v>
      </c>
      <c r="AK43" s="59">
        <f t="shared" si="15"/>
        <v>1239.83</v>
      </c>
      <c r="AL43" s="59">
        <f t="shared" si="12"/>
        <v>5508.2</v>
      </c>
      <c r="AM43" s="60">
        <v>1200</v>
      </c>
      <c r="AN43" s="59">
        <f t="shared" si="14"/>
        <v>90603.31</v>
      </c>
      <c r="AO43" s="64">
        <f t="shared" si="13"/>
        <v>13343.81</v>
      </c>
      <c r="AP43" s="27"/>
      <c r="AQ43" s="49"/>
    </row>
    <row r="44" s="3" customFormat="true" ht="38.25" customHeight="true" spans="1:43">
      <c r="A44" s="23" t="s">
        <v>266</v>
      </c>
      <c r="B44" s="18">
        <v>41</v>
      </c>
      <c r="C44" s="19" t="s">
        <v>267</v>
      </c>
      <c r="D44" s="20" t="s">
        <v>268</v>
      </c>
      <c r="E44" s="20" t="s">
        <v>49</v>
      </c>
      <c r="F44" s="19" t="s">
        <v>109</v>
      </c>
      <c r="G44" s="29" t="s">
        <v>269</v>
      </c>
      <c r="H44" s="19" t="s">
        <v>267</v>
      </c>
      <c r="I44" s="34" t="s">
        <v>51</v>
      </c>
      <c r="J44" s="20" t="s">
        <v>270</v>
      </c>
      <c r="K44" s="35">
        <v>80.66</v>
      </c>
      <c r="L44" s="30">
        <v>6.6</v>
      </c>
      <c r="M44" s="30"/>
      <c r="N44" s="42">
        <v>88.11</v>
      </c>
      <c r="O44" s="42">
        <f t="shared" si="16"/>
        <v>7.45</v>
      </c>
      <c r="P44" s="35">
        <v>25811.2</v>
      </c>
      <c r="Q44" s="35">
        <v>1440</v>
      </c>
      <c r="R44" s="42">
        <f t="shared" si="17"/>
        <v>320</v>
      </c>
      <c r="S44" s="42" t="s">
        <v>59</v>
      </c>
      <c r="T44" s="47" t="s">
        <v>271</v>
      </c>
      <c r="U44" s="19"/>
      <c r="V44" s="26">
        <v>95.38</v>
      </c>
      <c r="W44" s="50"/>
      <c r="X44" s="26">
        <v>95.38</v>
      </c>
      <c r="Y44" s="50">
        <f t="shared" si="11"/>
        <v>2384</v>
      </c>
      <c r="Z44" s="51"/>
      <c r="AA44" s="51">
        <f t="shared" si="18"/>
        <v>2467.08</v>
      </c>
      <c r="AB44" s="51"/>
      <c r="AC44" s="51"/>
      <c r="AD44" s="51"/>
      <c r="AE44" s="51"/>
      <c r="AF44" s="51"/>
      <c r="AG44" s="51"/>
      <c r="AH44" s="51">
        <f t="shared" si="19"/>
        <v>570</v>
      </c>
      <c r="AI44" s="51">
        <f>(95-88.11)*1500</f>
        <v>10335</v>
      </c>
      <c r="AJ44" s="53">
        <f>Y44+AA44+AE44+AF44+AG44+AH44+AI44</f>
        <v>15756.08</v>
      </c>
      <c r="AK44" s="59">
        <f t="shared" si="15"/>
        <v>236.34</v>
      </c>
      <c r="AL44" s="59">
        <f t="shared" si="12"/>
        <v>5508.2</v>
      </c>
      <c r="AM44" s="60">
        <v>1200</v>
      </c>
      <c r="AN44" s="59">
        <f t="shared" si="14"/>
        <v>22700.62</v>
      </c>
      <c r="AO44" s="64">
        <f t="shared" si="13"/>
        <v>12819.38</v>
      </c>
      <c r="AP44" s="51"/>
      <c r="AQ44" s="51"/>
    </row>
    <row r="45" s="3" customFormat="true" ht="38.25" customHeight="true" spans="1:43">
      <c r="A45" s="23" t="s">
        <v>272</v>
      </c>
      <c r="B45" s="18">
        <v>42</v>
      </c>
      <c r="C45" s="19" t="s">
        <v>273</v>
      </c>
      <c r="D45" s="20" t="s">
        <v>274</v>
      </c>
      <c r="E45" s="20" t="s">
        <v>49</v>
      </c>
      <c r="F45" s="19" t="s">
        <v>50</v>
      </c>
      <c r="G45" s="30"/>
      <c r="H45" s="19" t="s">
        <v>273</v>
      </c>
      <c r="I45" s="34" t="s">
        <v>51</v>
      </c>
      <c r="J45" s="20" t="s">
        <v>275</v>
      </c>
      <c r="K45" s="35">
        <v>80.66</v>
      </c>
      <c r="L45" s="30">
        <v>6.6</v>
      </c>
      <c r="M45" s="30"/>
      <c r="N45" s="42">
        <v>88.11</v>
      </c>
      <c r="O45" s="42">
        <f t="shared" si="16"/>
        <v>7.45</v>
      </c>
      <c r="P45" s="35">
        <v>25811.2</v>
      </c>
      <c r="Q45" s="35">
        <v>1440</v>
      </c>
      <c r="R45" s="42">
        <f t="shared" si="17"/>
        <v>320</v>
      </c>
      <c r="S45" s="42" t="s">
        <v>59</v>
      </c>
      <c r="T45" s="47" t="s">
        <v>276</v>
      </c>
      <c r="U45" s="19"/>
      <c r="V45" s="26">
        <v>95.38</v>
      </c>
      <c r="W45" s="50"/>
      <c r="X45" s="26">
        <v>95.38</v>
      </c>
      <c r="Y45" s="50">
        <f t="shared" si="11"/>
        <v>2384</v>
      </c>
      <c r="Z45" s="51"/>
      <c r="AA45" s="51">
        <f t="shared" si="18"/>
        <v>2467.08</v>
      </c>
      <c r="AB45" s="51"/>
      <c r="AC45" s="51"/>
      <c r="AD45" s="51"/>
      <c r="AE45" s="51"/>
      <c r="AF45" s="51">
        <f>(95-88.11)*2800</f>
        <v>19292</v>
      </c>
      <c r="AG45" s="51"/>
      <c r="AH45" s="51">
        <f t="shared" si="19"/>
        <v>570</v>
      </c>
      <c r="AI45" s="51"/>
      <c r="AJ45" s="53">
        <f>Y45+AA45+AF45+AG45+AH45+AE45</f>
        <v>24713.08</v>
      </c>
      <c r="AK45" s="59">
        <f t="shared" si="15"/>
        <v>370.7</v>
      </c>
      <c r="AL45" s="59">
        <f t="shared" si="12"/>
        <v>5508.2</v>
      </c>
      <c r="AM45" s="60">
        <v>1200</v>
      </c>
      <c r="AN45" s="59">
        <f t="shared" si="14"/>
        <v>31791.98</v>
      </c>
      <c r="AO45" s="64">
        <f t="shared" si="13"/>
        <v>12819.38</v>
      </c>
      <c r="AP45" s="51"/>
      <c r="AQ45" s="51"/>
    </row>
    <row r="46" s="3" customFormat="true" ht="38.25" customHeight="true" spans="1:43">
      <c r="A46" s="23" t="s">
        <v>277</v>
      </c>
      <c r="B46" s="18">
        <v>43</v>
      </c>
      <c r="C46" s="19" t="s">
        <v>278</v>
      </c>
      <c r="D46" s="20" t="s">
        <v>279</v>
      </c>
      <c r="E46" s="20" t="s">
        <v>49</v>
      </c>
      <c r="F46" s="19" t="s">
        <v>109</v>
      </c>
      <c r="G46" s="29" t="s">
        <v>280</v>
      </c>
      <c r="H46" s="19" t="s">
        <v>278</v>
      </c>
      <c r="I46" s="34" t="s">
        <v>51</v>
      </c>
      <c r="J46" s="20" t="s">
        <v>281</v>
      </c>
      <c r="K46" s="35">
        <v>76.4</v>
      </c>
      <c r="L46" s="35">
        <v>7.98</v>
      </c>
      <c r="M46" s="35"/>
      <c r="N46" s="42">
        <v>83.46</v>
      </c>
      <c r="O46" s="42">
        <f t="shared" si="16"/>
        <v>7.06</v>
      </c>
      <c r="P46" s="35">
        <v>21392</v>
      </c>
      <c r="Q46" s="35">
        <v>1915.2</v>
      </c>
      <c r="R46" s="42">
        <f t="shared" si="17"/>
        <v>280</v>
      </c>
      <c r="S46" s="42" t="s">
        <v>59</v>
      </c>
      <c r="T46" s="47" t="s">
        <v>282</v>
      </c>
      <c r="U46" s="19"/>
      <c r="V46" s="26">
        <v>95.38</v>
      </c>
      <c r="W46" s="50"/>
      <c r="X46" s="26">
        <v>95.38</v>
      </c>
      <c r="Y46" s="50">
        <f t="shared" si="11"/>
        <v>1976.8</v>
      </c>
      <c r="Z46" s="51"/>
      <c r="AA46" s="51">
        <f t="shared" si="18"/>
        <v>2336.88</v>
      </c>
      <c r="AB46" s="51"/>
      <c r="AC46" s="51"/>
      <c r="AD46" s="51"/>
      <c r="AE46" s="51"/>
      <c r="AF46" s="51">
        <f>(85-83.46)*2800</f>
        <v>4312.00000000002</v>
      </c>
      <c r="AG46" s="51"/>
      <c r="AH46" s="51">
        <f t="shared" si="19"/>
        <v>570</v>
      </c>
      <c r="AI46" s="51">
        <v>15000</v>
      </c>
      <c r="AJ46" s="53">
        <f>Y46+AA46+AE46+AF46+AG46+AH46+AI46</f>
        <v>24195.68</v>
      </c>
      <c r="AK46" s="59">
        <f t="shared" si="15"/>
        <v>362.94</v>
      </c>
      <c r="AL46" s="59">
        <f t="shared" si="12"/>
        <v>5508.2</v>
      </c>
      <c r="AM46" s="60">
        <v>1200</v>
      </c>
      <c r="AN46" s="59">
        <f t="shared" si="14"/>
        <v>31266.82</v>
      </c>
      <c r="AO46" s="64">
        <f t="shared" si="13"/>
        <v>15499.79</v>
      </c>
      <c r="AP46" s="51"/>
      <c r="AQ46" s="51"/>
    </row>
    <row r="47" s="3" customFormat="true" ht="38.25" customHeight="true" spans="1:43">
      <c r="A47" s="23" t="s">
        <v>283</v>
      </c>
      <c r="B47" s="18">
        <v>44</v>
      </c>
      <c r="C47" s="19" t="s">
        <v>284</v>
      </c>
      <c r="D47" s="20" t="s">
        <v>285</v>
      </c>
      <c r="E47" s="20" t="s">
        <v>49</v>
      </c>
      <c r="F47" s="19" t="s">
        <v>50</v>
      </c>
      <c r="G47" s="30"/>
      <c r="H47" s="19" t="s">
        <v>284</v>
      </c>
      <c r="I47" s="34" t="s">
        <v>51</v>
      </c>
      <c r="J47" s="20" t="s">
        <v>286</v>
      </c>
      <c r="K47" s="20" t="s">
        <v>287</v>
      </c>
      <c r="L47" s="35">
        <v>6.16</v>
      </c>
      <c r="M47" s="35"/>
      <c r="N47" s="42">
        <v>93.19</v>
      </c>
      <c r="O47" s="42">
        <f t="shared" si="16"/>
        <v>7.88</v>
      </c>
      <c r="P47" s="35">
        <v>28152</v>
      </c>
      <c r="Q47" s="35">
        <v>1478.4</v>
      </c>
      <c r="R47" s="42">
        <f t="shared" si="17"/>
        <v>330</v>
      </c>
      <c r="S47" s="42" t="s">
        <v>59</v>
      </c>
      <c r="T47" s="47" t="s">
        <v>288</v>
      </c>
      <c r="U47" s="19"/>
      <c r="V47" s="26">
        <v>95.38</v>
      </c>
      <c r="W47" s="50"/>
      <c r="X47" s="26">
        <v>95.38</v>
      </c>
      <c r="Y47" s="50">
        <f t="shared" si="11"/>
        <v>2600.4</v>
      </c>
      <c r="Z47" s="51"/>
      <c r="AA47" s="51">
        <f t="shared" si="18"/>
        <v>2609.32</v>
      </c>
      <c r="AB47" s="51"/>
      <c r="AC47" s="51"/>
      <c r="AD47" s="51"/>
      <c r="AE47" s="51"/>
      <c r="AF47" s="28">
        <f>(95-93.19)*2800</f>
        <v>5068.00000000001</v>
      </c>
      <c r="AG47" s="52"/>
      <c r="AH47" s="51">
        <f t="shared" si="19"/>
        <v>570</v>
      </c>
      <c r="AI47" s="52"/>
      <c r="AJ47" s="53">
        <f t="shared" ref="AJ47:AJ52" si="20">Y47+AA47+AF47+AG47+AH47+AE47</f>
        <v>10847.72</v>
      </c>
      <c r="AK47" s="59">
        <f t="shared" si="15"/>
        <v>162.72</v>
      </c>
      <c r="AL47" s="59">
        <f t="shared" si="12"/>
        <v>5508.2</v>
      </c>
      <c r="AM47" s="60">
        <v>1200</v>
      </c>
      <c r="AN47" s="59">
        <f t="shared" si="14"/>
        <v>17718.64</v>
      </c>
      <c r="AO47" s="64">
        <f t="shared" si="13"/>
        <v>11964.75</v>
      </c>
      <c r="AP47" s="65"/>
      <c r="AQ47" s="51"/>
    </row>
    <row r="48" s="3" customFormat="true" ht="38.25" customHeight="true" spans="1:43">
      <c r="A48" s="23" t="s">
        <v>289</v>
      </c>
      <c r="B48" s="18">
        <v>45</v>
      </c>
      <c r="C48" s="19" t="s">
        <v>290</v>
      </c>
      <c r="D48" s="20" t="s">
        <v>291</v>
      </c>
      <c r="E48" s="20" t="s">
        <v>49</v>
      </c>
      <c r="F48" s="19" t="s">
        <v>109</v>
      </c>
      <c r="G48" s="19" t="s">
        <v>292</v>
      </c>
      <c r="H48" s="19" t="s">
        <v>290</v>
      </c>
      <c r="I48" s="34" t="s">
        <v>51</v>
      </c>
      <c r="J48" s="20" t="s">
        <v>293</v>
      </c>
      <c r="K48" s="35">
        <v>80.66</v>
      </c>
      <c r="L48" s="30">
        <v>6.6</v>
      </c>
      <c r="M48" s="30"/>
      <c r="N48" s="42">
        <v>88.11</v>
      </c>
      <c r="O48" s="42">
        <f t="shared" si="16"/>
        <v>7.45</v>
      </c>
      <c r="P48" s="35">
        <v>25811.2</v>
      </c>
      <c r="Q48" s="35">
        <v>1440</v>
      </c>
      <c r="R48" s="42">
        <f t="shared" si="17"/>
        <v>320</v>
      </c>
      <c r="S48" s="42" t="s">
        <v>59</v>
      </c>
      <c r="T48" s="47" t="s">
        <v>294</v>
      </c>
      <c r="U48" s="19"/>
      <c r="V48" s="26">
        <v>95.38</v>
      </c>
      <c r="W48" s="50"/>
      <c r="X48" s="26">
        <v>95.38</v>
      </c>
      <c r="Y48" s="50">
        <f t="shared" si="11"/>
        <v>2384</v>
      </c>
      <c r="Z48" s="51"/>
      <c r="AA48" s="51">
        <f t="shared" si="18"/>
        <v>2467.08</v>
      </c>
      <c r="AB48" s="51"/>
      <c r="AC48" s="51"/>
      <c r="AD48" s="51"/>
      <c r="AE48" s="51"/>
      <c r="AF48" s="51"/>
      <c r="AG48" s="51"/>
      <c r="AH48" s="51">
        <f t="shared" si="19"/>
        <v>570</v>
      </c>
      <c r="AI48" s="51">
        <f>(95-88.11)*1500</f>
        <v>10335</v>
      </c>
      <c r="AJ48" s="53">
        <f>Y48+AA48+AE48+AF48+AG48+AH48+AI48</f>
        <v>15756.08</v>
      </c>
      <c r="AK48" s="59">
        <f t="shared" si="15"/>
        <v>236.34</v>
      </c>
      <c r="AL48" s="59">
        <f t="shared" si="12"/>
        <v>5508.2</v>
      </c>
      <c r="AM48" s="60">
        <v>1200</v>
      </c>
      <c r="AN48" s="59">
        <f t="shared" si="14"/>
        <v>22700.62</v>
      </c>
      <c r="AO48" s="64">
        <f t="shared" si="13"/>
        <v>12819.38</v>
      </c>
      <c r="AP48" s="51"/>
      <c r="AQ48" s="51"/>
    </row>
    <row r="49" s="3" customFormat="true" ht="38.25" customHeight="true" spans="1:43">
      <c r="A49" s="23" t="s">
        <v>295</v>
      </c>
      <c r="B49" s="18">
        <v>46</v>
      </c>
      <c r="C49" s="19" t="s">
        <v>296</v>
      </c>
      <c r="D49" s="20" t="s">
        <v>297</v>
      </c>
      <c r="E49" s="20" t="s">
        <v>49</v>
      </c>
      <c r="F49" s="19" t="s">
        <v>50</v>
      </c>
      <c r="G49" s="30"/>
      <c r="H49" s="19" t="s">
        <v>296</v>
      </c>
      <c r="I49" s="34" t="s">
        <v>51</v>
      </c>
      <c r="J49" s="20" t="s">
        <v>298</v>
      </c>
      <c r="K49" s="35">
        <v>80.66</v>
      </c>
      <c r="L49" s="30">
        <v>6.6</v>
      </c>
      <c r="M49" s="30"/>
      <c r="N49" s="42">
        <v>88.11</v>
      </c>
      <c r="O49" s="42">
        <f t="shared" si="16"/>
        <v>7.45</v>
      </c>
      <c r="P49" s="35">
        <v>25811.2</v>
      </c>
      <c r="Q49" s="35">
        <v>1440</v>
      </c>
      <c r="R49" s="42">
        <f t="shared" si="17"/>
        <v>320</v>
      </c>
      <c r="S49" s="42" t="s">
        <v>59</v>
      </c>
      <c r="T49" s="47" t="s">
        <v>299</v>
      </c>
      <c r="U49" s="19"/>
      <c r="V49" s="26">
        <v>95.38</v>
      </c>
      <c r="W49" s="50"/>
      <c r="X49" s="26">
        <v>95.38</v>
      </c>
      <c r="Y49" s="50">
        <f t="shared" si="11"/>
        <v>2384</v>
      </c>
      <c r="Z49" s="51"/>
      <c r="AA49" s="51">
        <f t="shared" si="18"/>
        <v>2467.08</v>
      </c>
      <c r="AB49" s="51"/>
      <c r="AC49" s="51"/>
      <c r="AD49" s="51"/>
      <c r="AE49" s="51"/>
      <c r="AF49" s="51">
        <f>(95-88.11)*2800</f>
        <v>19292</v>
      </c>
      <c r="AG49" s="51"/>
      <c r="AH49" s="51">
        <f t="shared" si="19"/>
        <v>570</v>
      </c>
      <c r="AI49" s="51"/>
      <c r="AJ49" s="53">
        <f t="shared" si="20"/>
        <v>24713.08</v>
      </c>
      <c r="AK49" s="59">
        <f t="shared" si="15"/>
        <v>370.7</v>
      </c>
      <c r="AL49" s="59">
        <f t="shared" si="12"/>
        <v>5508.2</v>
      </c>
      <c r="AM49" s="60">
        <v>1200</v>
      </c>
      <c r="AN49" s="59">
        <f t="shared" si="14"/>
        <v>31791.98</v>
      </c>
      <c r="AO49" s="64">
        <f t="shared" si="13"/>
        <v>12819.38</v>
      </c>
      <c r="AP49" s="51"/>
      <c r="AQ49" s="51"/>
    </row>
    <row r="50" s="3" customFormat="true" ht="38.25" customHeight="true" spans="1:43">
      <c r="A50" s="24" t="s">
        <v>300</v>
      </c>
      <c r="B50" s="18">
        <v>47</v>
      </c>
      <c r="C50" s="19" t="s">
        <v>301</v>
      </c>
      <c r="D50" s="20" t="s">
        <v>302</v>
      </c>
      <c r="E50" s="20" t="s">
        <v>49</v>
      </c>
      <c r="F50" s="19" t="s">
        <v>50</v>
      </c>
      <c r="G50" s="26"/>
      <c r="H50" s="19" t="s">
        <v>301</v>
      </c>
      <c r="I50" s="34" t="s">
        <v>51</v>
      </c>
      <c r="J50" s="20" t="s">
        <v>303</v>
      </c>
      <c r="K50" s="35">
        <v>80.66</v>
      </c>
      <c r="L50" s="30">
        <v>6.6</v>
      </c>
      <c r="M50" s="30"/>
      <c r="N50" s="42">
        <v>88.11</v>
      </c>
      <c r="O50" s="42">
        <f t="shared" si="16"/>
        <v>7.45</v>
      </c>
      <c r="P50" s="35">
        <v>25811.2</v>
      </c>
      <c r="Q50" s="35">
        <v>1440</v>
      </c>
      <c r="R50" s="42">
        <f t="shared" si="17"/>
        <v>320</v>
      </c>
      <c r="S50" s="42" t="s">
        <v>59</v>
      </c>
      <c r="T50" s="47" t="s">
        <v>304</v>
      </c>
      <c r="U50" s="19"/>
      <c r="V50" s="26">
        <v>95.38</v>
      </c>
      <c r="W50" s="50"/>
      <c r="X50" s="26">
        <v>95.38</v>
      </c>
      <c r="Y50" s="50">
        <f t="shared" si="11"/>
        <v>2384</v>
      </c>
      <c r="Z50" s="52"/>
      <c r="AA50" s="51">
        <f t="shared" si="18"/>
        <v>2467.08</v>
      </c>
      <c r="AB50" s="51"/>
      <c r="AC50" s="52"/>
      <c r="AD50" s="52"/>
      <c r="AE50" s="52"/>
      <c r="AF50" s="51">
        <f>(95-88.11)*2800</f>
        <v>19292</v>
      </c>
      <c r="AG50" s="51"/>
      <c r="AH50" s="51">
        <f t="shared" si="19"/>
        <v>570</v>
      </c>
      <c r="AI50" s="51"/>
      <c r="AJ50" s="53">
        <f t="shared" si="20"/>
        <v>24713.08</v>
      </c>
      <c r="AK50" s="59">
        <f t="shared" si="15"/>
        <v>370.7</v>
      </c>
      <c r="AL50" s="59">
        <f t="shared" si="12"/>
        <v>5508.2</v>
      </c>
      <c r="AM50" s="60">
        <v>1200</v>
      </c>
      <c r="AN50" s="59">
        <f t="shared" si="14"/>
        <v>31791.98</v>
      </c>
      <c r="AO50" s="64">
        <f t="shared" si="13"/>
        <v>12819.38</v>
      </c>
      <c r="AP50" s="51"/>
      <c r="AQ50" s="52"/>
    </row>
    <row r="51" s="3" customFormat="true" ht="38.25" customHeight="true" spans="1:43">
      <c r="A51" s="23" t="s">
        <v>305</v>
      </c>
      <c r="B51" s="18">
        <v>48</v>
      </c>
      <c r="C51" s="19" t="s">
        <v>306</v>
      </c>
      <c r="D51" s="20" t="s">
        <v>307</v>
      </c>
      <c r="E51" s="20" t="s">
        <v>49</v>
      </c>
      <c r="F51" s="19" t="s">
        <v>109</v>
      </c>
      <c r="G51" s="29" t="s">
        <v>308</v>
      </c>
      <c r="H51" s="19" t="s">
        <v>306</v>
      </c>
      <c r="I51" s="34" t="s">
        <v>51</v>
      </c>
      <c r="J51" s="20" t="s">
        <v>309</v>
      </c>
      <c r="K51" s="35">
        <v>80.66</v>
      </c>
      <c r="L51" s="30">
        <v>6.6</v>
      </c>
      <c r="M51" s="30"/>
      <c r="N51" s="42">
        <v>88.11</v>
      </c>
      <c r="O51" s="42">
        <f t="shared" si="16"/>
        <v>7.45</v>
      </c>
      <c r="P51" s="35">
        <v>25811.2</v>
      </c>
      <c r="Q51" s="35">
        <v>1440</v>
      </c>
      <c r="R51" s="42">
        <f t="shared" si="17"/>
        <v>320</v>
      </c>
      <c r="S51" s="42" t="s">
        <v>59</v>
      </c>
      <c r="T51" s="47" t="s">
        <v>310</v>
      </c>
      <c r="U51" s="19"/>
      <c r="V51" s="26">
        <v>95.38</v>
      </c>
      <c r="W51" s="50"/>
      <c r="X51" s="26">
        <v>95.38</v>
      </c>
      <c r="Y51" s="50">
        <f t="shared" si="11"/>
        <v>2384</v>
      </c>
      <c r="Z51" s="51"/>
      <c r="AA51" s="51">
        <f t="shared" si="18"/>
        <v>2467.08</v>
      </c>
      <c r="AB51" s="51"/>
      <c r="AC51" s="51"/>
      <c r="AD51" s="51"/>
      <c r="AE51" s="51"/>
      <c r="AF51" s="51"/>
      <c r="AG51" s="51"/>
      <c r="AH51" s="51">
        <f t="shared" si="19"/>
        <v>570</v>
      </c>
      <c r="AI51" s="51">
        <f>(95-88.11)*1500</f>
        <v>10335</v>
      </c>
      <c r="AJ51" s="53">
        <f>Y51+AA51+AE51+AF51+AG51+AH51+AI51</f>
        <v>15756.08</v>
      </c>
      <c r="AK51" s="59">
        <f t="shared" si="15"/>
        <v>236.34</v>
      </c>
      <c r="AL51" s="59">
        <f t="shared" si="12"/>
        <v>5508.2</v>
      </c>
      <c r="AM51" s="60">
        <v>1200</v>
      </c>
      <c r="AN51" s="59">
        <f t="shared" si="14"/>
        <v>22700.62</v>
      </c>
      <c r="AO51" s="64">
        <f t="shared" si="13"/>
        <v>12819.38</v>
      </c>
      <c r="AP51" s="51"/>
      <c r="AQ51" s="51"/>
    </row>
    <row r="52" s="3" customFormat="true" ht="38.25" customHeight="true" spans="1:43">
      <c r="A52" s="23" t="s">
        <v>311</v>
      </c>
      <c r="B52" s="18">
        <v>49</v>
      </c>
      <c r="C52" s="19" t="s">
        <v>312</v>
      </c>
      <c r="D52" s="20" t="s">
        <v>313</v>
      </c>
      <c r="E52" s="20" t="s">
        <v>49</v>
      </c>
      <c r="F52" s="19" t="s">
        <v>50</v>
      </c>
      <c r="G52" s="30"/>
      <c r="H52" s="19" t="s">
        <v>312</v>
      </c>
      <c r="I52" s="34" t="s">
        <v>51</v>
      </c>
      <c r="J52" s="20" t="s">
        <v>314</v>
      </c>
      <c r="K52" s="35">
        <v>81.34</v>
      </c>
      <c r="L52" s="35">
        <v>6.77</v>
      </c>
      <c r="M52" s="35"/>
      <c r="N52" s="42">
        <v>88.86</v>
      </c>
      <c r="O52" s="42">
        <f t="shared" si="16"/>
        <v>7.52</v>
      </c>
      <c r="P52" s="35">
        <v>26028.8</v>
      </c>
      <c r="Q52" s="35">
        <v>1624.8</v>
      </c>
      <c r="R52" s="42">
        <f t="shared" si="17"/>
        <v>320</v>
      </c>
      <c r="S52" s="42" t="s">
        <v>59</v>
      </c>
      <c r="T52" s="47" t="s">
        <v>315</v>
      </c>
      <c r="U52" s="19"/>
      <c r="V52" s="26">
        <v>95.38</v>
      </c>
      <c r="W52" s="50"/>
      <c r="X52" s="26">
        <v>95.38</v>
      </c>
      <c r="Y52" s="50">
        <f t="shared" si="11"/>
        <v>2406.4</v>
      </c>
      <c r="Z52" s="51"/>
      <c r="AA52" s="51">
        <f t="shared" si="18"/>
        <v>2488.08</v>
      </c>
      <c r="AB52" s="51"/>
      <c r="AC52" s="51"/>
      <c r="AD52" s="51"/>
      <c r="AE52" s="51"/>
      <c r="AF52" s="51">
        <f>(95-88.86)*2800</f>
        <v>17192</v>
      </c>
      <c r="AG52" s="51"/>
      <c r="AH52" s="51">
        <f t="shared" si="19"/>
        <v>570</v>
      </c>
      <c r="AI52" s="51"/>
      <c r="AJ52" s="53">
        <f t="shared" si="20"/>
        <v>22656.48</v>
      </c>
      <c r="AK52" s="59">
        <f t="shared" si="15"/>
        <v>339.85</v>
      </c>
      <c r="AL52" s="59">
        <f t="shared" si="12"/>
        <v>5508.2</v>
      </c>
      <c r="AM52" s="60">
        <v>1200</v>
      </c>
      <c r="AN52" s="59">
        <f t="shared" si="14"/>
        <v>29704.53</v>
      </c>
      <c r="AO52" s="64">
        <f t="shared" si="13"/>
        <v>13149.57</v>
      </c>
      <c r="AP52" s="51"/>
      <c r="AQ52" s="51"/>
    </row>
    <row r="53" s="3" customFormat="true" ht="38.25" customHeight="true" spans="1:43">
      <c r="A53" s="17" t="s">
        <v>316</v>
      </c>
      <c r="B53" s="18">
        <v>50</v>
      </c>
      <c r="C53" s="19" t="s">
        <v>317</v>
      </c>
      <c r="D53" s="20" t="s">
        <v>318</v>
      </c>
      <c r="E53" s="20" t="s">
        <v>76</v>
      </c>
      <c r="F53" s="19" t="s">
        <v>50</v>
      </c>
      <c r="G53" s="27"/>
      <c r="H53" s="19" t="s">
        <v>317</v>
      </c>
      <c r="I53" s="34" t="s">
        <v>51</v>
      </c>
      <c r="J53" s="20" t="s">
        <v>319</v>
      </c>
      <c r="K53" s="35">
        <v>68.68</v>
      </c>
      <c r="L53" s="35">
        <v>6.87</v>
      </c>
      <c r="M53" s="35"/>
      <c r="N53" s="42">
        <v>75.03</v>
      </c>
      <c r="O53" s="42">
        <f t="shared" si="16"/>
        <v>6.35</v>
      </c>
      <c r="P53" s="35">
        <v>21977.6</v>
      </c>
      <c r="Q53" s="35">
        <v>1648.8</v>
      </c>
      <c r="R53" s="42">
        <f t="shared" si="17"/>
        <v>320</v>
      </c>
      <c r="S53" s="42" t="s">
        <v>59</v>
      </c>
      <c r="T53" s="47" t="s">
        <v>320</v>
      </c>
      <c r="U53" s="49"/>
      <c r="V53" s="26">
        <v>95.38</v>
      </c>
      <c r="W53" s="27"/>
      <c r="X53" s="26">
        <v>95.38</v>
      </c>
      <c r="Y53" s="50">
        <f t="shared" si="11"/>
        <v>2032</v>
      </c>
      <c r="Z53" s="27"/>
      <c r="AA53" s="51">
        <f t="shared" si="18"/>
        <v>2100.84</v>
      </c>
      <c r="AB53" s="27"/>
      <c r="AC53" s="27"/>
      <c r="AD53" s="27"/>
      <c r="AE53" s="27"/>
      <c r="AF53" s="51">
        <f>(85-75.03)*2800</f>
        <v>27916</v>
      </c>
      <c r="AG53" s="51">
        <v>34000</v>
      </c>
      <c r="AH53" s="27">
        <f t="shared" si="19"/>
        <v>570</v>
      </c>
      <c r="AI53" s="27"/>
      <c r="AJ53" s="53">
        <f>Y53+AA53+AE53+AF53+AG53+AH53</f>
        <v>66618.84</v>
      </c>
      <c r="AK53" s="59">
        <f t="shared" si="15"/>
        <v>999.28</v>
      </c>
      <c r="AL53" s="59">
        <f t="shared" si="12"/>
        <v>5508.2</v>
      </c>
      <c r="AM53" s="60">
        <v>1200</v>
      </c>
      <c r="AN53" s="59">
        <f t="shared" si="14"/>
        <v>74326.32</v>
      </c>
      <c r="AO53" s="64">
        <f t="shared" si="13"/>
        <v>13343.81</v>
      </c>
      <c r="AP53" s="27"/>
      <c r="AQ53" s="49"/>
    </row>
    <row r="54" s="3" customFormat="true" ht="38.25" customHeight="true" spans="1:43">
      <c r="A54" s="17" t="s">
        <v>321</v>
      </c>
      <c r="B54" s="18">
        <v>51</v>
      </c>
      <c r="C54" s="19" t="s">
        <v>322</v>
      </c>
      <c r="D54" s="20" t="s">
        <v>323</v>
      </c>
      <c r="E54" s="20" t="s">
        <v>49</v>
      </c>
      <c r="F54" s="19" t="s">
        <v>50</v>
      </c>
      <c r="G54" s="27"/>
      <c r="H54" s="19" t="s">
        <v>322</v>
      </c>
      <c r="I54" s="34" t="s">
        <v>51</v>
      </c>
      <c r="J54" s="20" t="s">
        <v>324</v>
      </c>
      <c r="K54" s="35">
        <v>102.1</v>
      </c>
      <c r="L54" s="30">
        <v>7.86</v>
      </c>
      <c r="M54" s="30"/>
      <c r="N54" s="42">
        <v>111.53</v>
      </c>
      <c r="O54" s="42">
        <f t="shared" si="16"/>
        <v>9.43</v>
      </c>
      <c r="P54" s="35">
        <v>32672</v>
      </c>
      <c r="Q54" s="35">
        <v>1886.4</v>
      </c>
      <c r="R54" s="42">
        <f t="shared" si="17"/>
        <v>320</v>
      </c>
      <c r="S54" s="42" t="s">
        <v>59</v>
      </c>
      <c r="T54" s="47" t="s">
        <v>325</v>
      </c>
      <c r="U54" s="49"/>
      <c r="V54" s="27">
        <v>96.12</v>
      </c>
      <c r="W54" s="27"/>
      <c r="X54" s="27">
        <v>96.12</v>
      </c>
      <c r="Y54" s="50">
        <f t="shared" si="11"/>
        <v>3017.6</v>
      </c>
      <c r="Z54" s="27"/>
      <c r="AA54" s="27">
        <f>V54*28</f>
        <v>2691.36</v>
      </c>
      <c r="AB54" s="27"/>
      <c r="AC54" s="27"/>
      <c r="AD54" s="27"/>
      <c r="AE54" s="27"/>
      <c r="AF54" s="27"/>
      <c r="AG54" s="27"/>
      <c r="AH54" s="27"/>
      <c r="AI54" s="27"/>
      <c r="AJ54" s="53">
        <f>Y54+AA54+AF54+AG54+AH54+AE54</f>
        <v>5708.96</v>
      </c>
      <c r="AK54" s="59">
        <f t="shared" si="15"/>
        <v>85.63</v>
      </c>
      <c r="AL54" s="59">
        <f t="shared" si="12"/>
        <v>5550.93</v>
      </c>
      <c r="AM54" s="60">
        <v>1200</v>
      </c>
      <c r="AN54" s="59">
        <f t="shared" si="14"/>
        <v>12545.52</v>
      </c>
      <c r="AO54" s="64">
        <f t="shared" si="13"/>
        <v>15266.71</v>
      </c>
      <c r="AP54" s="27">
        <f>(111.53-96.12)*1500</f>
        <v>23115</v>
      </c>
      <c r="AQ54" s="49"/>
    </row>
    <row r="55" s="3" customFormat="true" ht="38.25" customHeight="true" spans="1:43">
      <c r="A55" s="23" t="s">
        <v>326</v>
      </c>
      <c r="B55" s="18">
        <v>52</v>
      </c>
      <c r="C55" s="19" t="s">
        <v>327</v>
      </c>
      <c r="D55" s="20" t="s">
        <v>328</v>
      </c>
      <c r="E55" s="20" t="s">
        <v>49</v>
      </c>
      <c r="F55" s="19" t="s">
        <v>50</v>
      </c>
      <c r="G55" s="30"/>
      <c r="H55" s="19" t="s">
        <v>327</v>
      </c>
      <c r="I55" s="34" t="s">
        <v>51</v>
      </c>
      <c r="J55" s="20" t="s">
        <v>329</v>
      </c>
      <c r="K55" s="35">
        <v>69.86</v>
      </c>
      <c r="L55" s="35">
        <v>6.16</v>
      </c>
      <c r="M55" s="35"/>
      <c r="N55" s="42">
        <v>76.32</v>
      </c>
      <c r="O55" s="42">
        <f t="shared" si="16"/>
        <v>6.46</v>
      </c>
      <c r="P55" s="35">
        <v>23053.8</v>
      </c>
      <c r="Q55" s="35">
        <v>1478.4</v>
      </c>
      <c r="R55" s="42">
        <f t="shared" si="17"/>
        <v>330</v>
      </c>
      <c r="S55" s="42" t="s">
        <v>59</v>
      </c>
      <c r="T55" s="47" t="s">
        <v>330</v>
      </c>
      <c r="U55" s="19"/>
      <c r="V55" s="26">
        <v>85.37</v>
      </c>
      <c r="W55" s="50"/>
      <c r="X55" s="26">
        <v>85.37</v>
      </c>
      <c r="Y55" s="50">
        <f t="shared" si="11"/>
        <v>2131.8</v>
      </c>
      <c r="Z55" s="51"/>
      <c r="AA55" s="51">
        <f t="shared" ref="AA55:AA62" si="21">N55*28</f>
        <v>2136.96</v>
      </c>
      <c r="AB55" s="51"/>
      <c r="AC55" s="51"/>
      <c r="AD55" s="51"/>
      <c r="AE55" s="51"/>
      <c r="AF55" s="51">
        <f>(85-76.32)*2800</f>
        <v>24304</v>
      </c>
      <c r="AG55" s="51"/>
      <c r="AH55" s="51">
        <f>0.37*1500</f>
        <v>555</v>
      </c>
      <c r="AI55" s="51"/>
      <c r="AJ55" s="53">
        <f>Y55+AA55+AE55+AF55+AG55+AH55</f>
        <v>29127.76</v>
      </c>
      <c r="AK55" s="59">
        <f>AJ55*0.01</f>
        <v>291.28</v>
      </c>
      <c r="AL55" s="59">
        <f t="shared" si="12"/>
        <v>4930.12</v>
      </c>
      <c r="AM55" s="60">
        <v>1200</v>
      </c>
      <c r="AN55" s="59">
        <f t="shared" si="14"/>
        <v>35549.16</v>
      </c>
      <c r="AO55" s="64">
        <f t="shared" si="13"/>
        <v>11964.75</v>
      </c>
      <c r="AP55" s="51"/>
      <c r="AQ55" s="51"/>
    </row>
    <row r="56" s="3" customFormat="true" ht="38.25" customHeight="true" spans="1:43">
      <c r="A56" s="23" t="s">
        <v>331</v>
      </c>
      <c r="B56" s="18">
        <v>53</v>
      </c>
      <c r="C56" s="19" t="s">
        <v>332</v>
      </c>
      <c r="D56" s="20" t="s">
        <v>333</v>
      </c>
      <c r="E56" s="20" t="s">
        <v>49</v>
      </c>
      <c r="F56" s="19" t="s">
        <v>50</v>
      </c>
      <c r="G56" s="30"/>
      <c r="H56" s="19" t="s">
        <v>332</v>
      </c>
      <c r="I56" s="34" t="s">
        <v>51</v>
      </c>
      <c r="J56" s="20" t="s">
        <v>334</v>
      </c>
      <c r="K56" s="35">
        <v>85.31</v>
      </c>
      <c r="L56" s="35">
        <v>6.16</v>
      </c>
      <c r="M56" s="35"/>
      <c r="N56" s="42">
        <v>93.19</v>
      </c>
      <c r="O56" s="42">
        <f t="shared" si="16"/>
        <v>7.88</v>
      </c>
      <c r="P56" s="35">
        <v>28152</v>
      </c>
      <c r="Q56" s="35">
        <v>1478.4</v>
      </c>
      <c r="R56" s="42">
        <f t="shared" si="17"/>
        <v>330</v>
      </c>
      <c r="S56" s="42" t="s">
        <v>59</v>
      </c>
      <c r="T56" s="47" t="s">
        <v>335</v>
      </c>
      <c r="U56" s="19"/>
      <c r="V56" s="27">
        <v>96.12</v>
      </c>
      <c r="W56" s="50"/>
      <c r="X56" s="27">
        <v>96.12</v>
      </c>
      <c r="Y56" s="50">
        <f t="shared" si="11"/>
        <v>2600.4</v>
      </c>
      <c r="Z56" s="51"/>
      <c r="AA56" s="51">
        <f t="shared" si="21"/>
        <v>2609.32</v>
      </c>
      <c r="AB56" s="51"/>
      <c r="AC56" s="51"/>
      <c r="AD56" s="51"/>
      <c r="AE56" s="51"/>
      <c r="AF56" s="28">
        <f>(95-93.19)*2800</f>
        <v>5068.00000000001</v>
      </c>
      <c r="AG56" s="51"/>
      <c r="AH56" s="51">
        <f>1.12*1500</f>
        <v>1680</v>
      </c>
      <c r="AI56" s="51"/>
      <c r="AJ56" s="53">
        <f>Y56+AA56+AF56+AG56+AH56+AE56</f>
        <v>11957.72</v>
      </c>
      <c r="AK56" s="59">
        <f>AJ56*0.015</f>
        <v>179.37</v>
      </c>
      <c r="AL56" s="59">
        <f t="shared" si="12"/>
        <v>5550.93</v>
      </c>
      <c r="AM56" s="60">
        <v>1200</v>
      </c>
      <c r="AN56" s="59">
        <f t="shared" si="14"/>
        <v>18888.02</v>
      </c>
      <c r="AO56" s="64">
        <f t="shared" si="13"/>
        <v>11964.75</v>
      </c>
      <c r="AP56" s="65"/>
      <c r="AQ56" s="51"/>
    </row>
    <row r="57" s="3" customFormat="true" ht="38.25" customHeight="true" spans="1:43">
      <c r="A57" s="23" t="s">
        <v>336</v>
      </c>
      <c r="B57" s="18">
        <v>54</v>
      </c>
      <c r="C57" s="19" t="s">
        <v>337</v>
      </c>
      <c r="D57" s="20" t="s">
        <v>338</v>
      </c>
      <c r="E57" s="20" t="s">
        <v>49</v>
      </c>
      <c r="F57" s="19" t="s">
        <v>50</v>
      </c>
      <c r="G57" s="19"/>
      <c r="H57" s="19" t="s">
        <v>337</v>
      </c>
      <c r="I57" s="34" t="s">
        <v>51</v>
      </c>
      <c r="J57" s="20" t="s">
        <v>339</v>
      </c>
      <c r="K57" s="35">
        <v>69.86</v>
      </c>
      <c r="L57" s="35">
        <v>6.16</v>
      </c>
      <c r="M57" s="35"/>
      <c r="N57" s="42">
        <v>76.32</v>
      </c>
      <c r="O57" s="42">
        <f t="shared" si="16"/>
        <v>6.46</v>
      </c>
      <c r="P57" s="35">
        <v>23053.8</v>
      </c>
      <c r="Q57" s="35">
        <v>1478.4</v>
      </c>
      <c r="R57" s="42">
        <f t="shared" si="17"/>
        <v>330</v>
      </c>
      <c r="S57" s="42" t="s">
        <v>59</v>
      </c>
      <c r="T57" s="47" t="s">
        <v>340</v>
      </c>
      <c r="U57" s="19"/>
      <c r="V57" s="26">
        <v>85.37</v>
      </c>
      <c r="W57" s="50"/>
      <c r="X57" s="26">
        <v>85.37</v>
      </c>
      <c r="Y57" s="50">
        <f t="shared" si="11"/>
        <v>2131.8</v>
      </c>
      <c r="Z57" s="51"/>
      <c r="AA57" s="51">
        <f t="shared" si="21"/>
        <v>2136.96</v>
      </c>
      <c r="AB57" s="51"/>
      <c r="AC57" s="51"/>
      <c r="AD57" s="51"/>
      <c r="AE57" s="51"/>
      <c r="AF57" s="51">
        <f>(85-76.32)*2800</f>
        <v>24304</v>
      </c>
      <c r="AG57" s="51"/>
      <c r="AH57" s="51">
        <f>0.37*1500</f>
        <v>555</v>
      </c>
      <c r="AI57" s="51"/>
      <c r="AJ57" s="53">
        <f>Y57+AA57+AE57+AF57+AG57+AH57</f>
        <v>29127.76</v>
      </c>
      <c r="AK57" s="59">
        <f>AJ57*0.01</f>
        <v>291.28</v>
      </c>
      <c r="AL57" s="59">
        <f t="shared" si="12"/>
        <v>4930.12</v>
      </c>
      <c r="AM57" s="60">
        <v>1200</v>
      </c>
      <c r="AN57" s="59">
        <f t="shared" si="14"/>
        <v>35549.16</v>
      </c>
      <c r="AO57" s="64">
        <f t="shared" si="13"/>
        <v>11964.75</v>
      </c>
      <c r="AP57" s="51"/>
      <c r="AQ57" s="51"/>
    </row>
    <row r="58" s="3" customFormat="true" ht="38.25" customHeight="true" spans="1:43">
      <c r="A58" s="17" t="s">
        <v>341</v>
      </c>
      <c r="B58" s="18">
        <v>55</v>
      </c>
      <c r="C58" s="19" t="s">
        <v>342</v>
      </c>
      <c r="D58" s="20" t="s">
        <v>343</v>
      </c>
      <c r="E58" s="20" t="s">
        <v>49</v>
      </c>
      <c r="F58" s="19" t="s">
        <v>50</v>
      </c>
      <c r="G58" s="20"/>
      <c r="H58" s="19" t="s">
        <v>342</v>
      </c>
      <c r="I58" s="34" t="s">
        <v>51</v>
      </c>
      <c r="J58" s="20" t="s">
        <v>344</v>
      </c>
      <c r="K58" s="35">
        <v>80.66</v>
      </c>
      <c r="L58" s="35">
        <v>8</v>
      </c>
      <c r="M58" s="35"/>
      <c r="N58" s="42">
        <v>88.11</v>
      </c>
      <c r="O58" s="42">
        <f t="shared" si="16"/>
        <v>7.45</v>
      </c>
      <c r="P58" s="35">
        <v>25811.2</v>
      </c>
      <c r="Q58" s="35">
        <v>1440</v>
      </c>
      <c r="R58" s="42">
        <f t="shared" si="17"/>
        <v>320</v>
      </c>
      <c r="S58" s="42" t="s">
        <v>59</v>
      </c>
      <c r="T58" s="47" t="s">
        <v>345</v>
      </c>
      <c r="U58" s="51"/>
      <c r="V58" s="27">
        <v>96.12</v>
      </c>
      <c r="W58" s="50"/>
      <c r="X58" s="27">
        <v>96.12</v>
      </c>
      <c r="Y58" s="50">
        <f t="shared" si="11"/>
        <v>2384</v>
      </c>
      <c r="Z58" s="51"/>
      <c r="AA58" s="51">
        <f t="shared" si="21"/>
        <v>2467.08</v>
      </c>
      <c r="AB58" s="28"/>
      <c r="AC58" s="28"/>
      <c r="AD58" s="28"/>
      <c r="AE58" s="28"/>
      <c r="AF58" s="51">
        <f>(95-88.11)*2800</f>
        <v>19292</v>
      </c>
      <c r="AG58" s="51"/>
      <c r="AH58" s="51">
        <f>1.12*1500</f>
        <v>1680</v>
      </c>
      <c r="AI58" s="51"/>
      <c r="AJ58" s="53">
        <f>Y58+AA58+AF58+AG58+AH58+AE58</f>
        <v>25823.08</v>
      </c>
      <c r="AK58" s="59">
        <f>AJ58*0.015</f>
        <v>387.35</v>
      </c>
      <c r="AL58" s="59">
        <f t="shared" si="12"/>
        <v>5550.93</v>
      </c>
      <c r="AM58" s="60">
        <v>1200</v>
      </c>
      <c r="AN58" s="59">
        <f t="shared" si="14"/>
        <v>32961.36</v>
      </c>
      <c r="AO58" s="64">
        <f t="shared" si="13"/>
        <v>15538.64</v>
      </c>
      <c r="AP58" s="51"/>
      <c r="AQ58" s="51"/>
    </row>
    <row r="59" s="3" customFormat="true" ht="38.25" customHeight="true" spans="1:43">
      <c r="A59" s="23" t="s">
        <v>346</v>
      </c>
      <c r="B59" s="18">
        <v>56</v>
      </c>
      <c r="C59" s="19" t="s">
        <v>347</v>
      </c>
      <c r="D59" s="20" t="s">
        <v>348</v>
      </c>
      <c r="E59" s="20" t="s">
        <v>49</v>
      </c>
      <c r="F59" s="19" t="s">
        <v>50</v>
      </c>
      <c r="G59" s="30"/>
      <c r="H59" s="19" t="s">
        <v>347</v>
      </c>
      <c r="I59" s="34" t="s">
        <v>51</v>
      </c>
      <c r="J59" s="20" t="s">
        <v>349</v>
      </c>
      <c r="K59" s="35">
        <v>64.7</v>
      </c>
      <c r="L59" s="35">
        <v>7.98</v>
      </c>
      <c r="M59" s="35"/>
      <c r="N59" s="42">
        <v>70.68</v>
      </c>
      <c r="O59" s="42">
        <f t="shared" si="16"/>
        <v>5.98</v>
      </c>
      <c r="P59" s="35">
        <v>18116</v>
      </c>
      <c r="Q59" s="35">
        <v>1915.2</v>
      </c>
      <c r="R59" s="42">
        <f t="shared" si="17"/>
        <v>280</v>
      </c>
      <c r="S59" s="42" t="s">
        <v>59</v>
      </c>
      <c r="T59" s="47" t="s">
        <v>350</v>
      </c>
      <c r="U59" s="19"/>
      <c r="V59" s="26">
        <v>85.71</v>
      </c>
      <c r="W59" s="50"/>
      <c r="X59" s="26">
        <v>85.71</v>
      </c>
      <c r="Y59" s="50">
        <f t="shared" si="11"/>
        <v>1674.4</v>
      </c>
      <c r="Z59" s="51"/>
      <c r="AA59" s="51">
        <f t="shared" si="21"/>
        <v>1979.04</v>
      </c>
      <c r="AB59" s="51"/>
      <c r="AC59" s="51"/>
      <c r="AD59" s="51"/>
      <c r="AE59" s="51">
        <f>(75-70.68)*1500</f>
        <v>6479.99999999999</v>
      </c>
      <c r="AF59" s="51"/>
      <c r="AG59" s="51">
        <v>34000</v>
      </c>
      <c r="AH59" s="51">
        <f>0.71*1500</f>
        <v>1065</v>
      </c>
      <c r="AI59" s="51"/>
      <c r="AJ59" s="53">
        <f>Y59+AA59+AE59+AF59+AG59+AH59</f>
        <v>45198.44</v>
      </c>
      <c r="AK59" s="59">
        <f t="shared" ref="AK59:AK66" si="22">AJ59*0.01</f>
        <v>451.98</v>
      </c>
      <c r="AL59" s="59">
        <f t="shared" si="12"/>
        <v>4949.75</v>
      </c>
      <c r="AM59" s="60">
        <v>1200</v>
      </c>
      <c r="AN59" s="59">
        <f t="shared" si="14"/>
        <v>51800.17</v>
      </c>
      <c r="AO59" s="64">
        <f t="shared" si="13"/>
        <v>15499.79</v>
      </c>
      <c r="AP59" s="51"/>
      <c r="AQ59" s="51"/>
    </row>
    <row r="60" s="3" customFormat="true" ht="38.25" customHeight="true" spans="1:43">
      <c r="A60" s="17" t="s">
        <v>351</v>
      </c>
      <c r="B60" s="18">
        <v>57</v>
      </c>
      <c r="C60" s="19" t="s">
        <v>352</v>
      </c>
      <c r="D60" s="20" t="s">
        <v>353</v>
      </c>
      <c r="E60" s="20" t="s">
        <v>49</v>
      </c>
      <c r="F60" s="19" t="s">
        <v>50</v>
      </c>
      <c r="G60" s="27"/>
      <c r="H60" s="19" t="s">
        <v>352</v>
      </c>
      <c r="I60" s="34" t="s">
        <v>51</v>
      </c>
      <c r="J60" s="20" t="s">
        <v>354</v>
      </c>
      <c r="K60" s="35">
        <v>62.35</v>
      </c>
      <c r="L60" s="35">
        <v>6.87</v>
      </c>
      <c r="M60" s="35"/>
      <c r="N60" s="42">
        <v>68.11</v>
      </c>
      <c r="O60" s="42">
        <f t="shared" si="16"/>
        <v>5.76</v>
      </c>
      <c r="P60" s="35">
        <v>19952</v>
      </c>
      <c r="Q60" s="35">
        <v>1648.8</v>
      </c>
      <c r="R60" s="42">
        <f t="shared" si="17"/>
        <v>320</v>
      </c>
      <c r="S60" s="42" t="s">
        <v>59</v>
      </c>
      <c r="T60" s="47" t="s">
        <v>355</v>
      </c>
      <c r="U60" s="49"/>
      <c r="V60" s="26">
        <v>85.71</v>
      </c>
      <c r="W60" s="27"/>
      <c r="X60" s="26">
        <v>85.71</v>
      </c>
      <c r="Y60" s="50">
        <f t="shared" si="11"/>
        <v>1843.2</v>
      </c>
      <c r="Z60" s="27"/>
      <c r="AA60" s="51">
        <f t="shared" si="21"/>
        <v>1907.08</v>
      </c>
      <c r="AB60" s="27"/>
      <c r="AC60" s="27"/>
      <c r="AD60" s="27"/>
      <c r="AE60" s="52">
        <f>(75-68.11)*1500</f>
        <v>10335</v>
      </c>
      <c r="AF60" s="27"/>
      <c r="AG60" s="52">
        <v>34000</v>
      </c>
      <c r="AH60" s="27">
        <f>0.71*1500</f>
        <v>1065</v>
      </c>
      <c r="AI60" s="27"/>
      <c r="AJ60" s="53">
        <f>Y60+AA60+AE60+AF60+AG60+AH60</f>
        <v>49150.28</v>
      </c>
      <c r="AK60" s="59">
        <f t="shared" si="22"/>
        <v>491.5</v>
      </c>
      <c r="AL60" s="59">
        <f t="shared" si="12"/>
        <v>4949.75</v>
      </c>
      <c r="AM60" s="60">
        <v>1200</v>
      </c>
      <c r="AN60" s="59">
        <f t="shared" si="14"/>
        <v>55791.53</v>
      </c>
      <c r="AO60" s="64">
        <f t="shared" si="13"/>
        <v>13343.81</v>
      </c>
      <c r="AP60" s="27"/>
      <c r="AQ60" s="49"/>
    </row>
    <row r="61" s="3" customFormat="true" ht="38.25" customHeight="true" spans="1:43">
      <c r="A61" s="17" t="s">
        <v>356</v>
      </c>
      <c r="B61" s="18">
        <v>58</v>
      </c>
      <c r="C61" s="26" t="s">
        <v>357</v>
      </c>
      <c r="D61" s="20" t="s">
        <v>358</v>
      </c>
      <c r="E61" s="20" t="s">
        <v>131</v>
      </c>
      <c r="F61" s="19" t="s">
        <v>50</v>
      </c>
      <c r="G61" s="27"/>
      <c r="H61" s="26" t="s">
        <v>357</v>
      </c>
      <c r="I61" s="34" t="s">
        <v>51</v>
      </c>
      <c r="J61" s="20" t="s">
        <v>359</v>
      </c>
      <c r="K61" s="35">
        <v>60.91</v>
      </c>
      <c r="L61" s="35">
        <v>6.87</v>
      </c>
      <c r="M61" s="35"/>
      <c r="N61" s="42">
        <v>66.54</v>
      </c>
      <c r="O61" s="42">
        <f t="shared" si="16"/>
        <v>5.63</v>
      </c>
      <c r="P61" s="35">
        <v>19491.2</v>
      </c>
      <c r="Q61" s="35">
        <v>1648.8</v>
      </c>
      <c r="R61" s="42">
        <f t="shared" si="17"/>
        <v>320</v>
      </c>
      <c r="S61" s="42" t="s">
        <v>59</v>
      </c>
      <c r="T61" s="47" t="s">
        <v>360</v>
      </c>
      <c r="U61" s="49"/>
      <c r="V61" s="27">
        <v>76.42</v>
      </c>
      <c r="W61" s="27"/>
      <c r="X61" s="27">
        <v>76.42</v>
      </c>
      <c r="Y61" s="50">
        <f t="shared" si="11"/>
        <v>1801.6</v>
      </c>
      <c r="Z61" s="27"/>
      <c r="AA61" s="51">
        <f t="shared" si="21"/>
        <v>1863.12</v>
      </c>
      <c r="AB61" s="27"/>
      <c r="AC61" s="27"/>
      <c r="AD61" s="27"/>
      <c r="AE61" s="27">
        <f>(75-66.54)*1500</f>
        <v>12690</v>
      </c>
      <c r="AF61" s="27"/>
      <c r="AG61" s="27"/>
      <c r="AH61" s="27">
        <f>1.42*1500</f>
        <v>2130</v>
      </c>
      <c r="AI61" s="27"/>
      <c r="AJ61" s="53">
        <f>Y61+AA61+AE61+AF61+AG61+AH61</f>
        <v>18484.72</v>
      </c>
      <c r="AK61" s="59">
        <f t="shared" si="22"/>
        <v>184.85</v>
      </c>
      <c r="AL61" s="59">
        <f t="shared" si="12"/>
        <v>4413.26</v>
      </c>
      <c r="AM61" s="60">
        <v>1200</v>
      </c>
      <c r="AN61" s="59">
        <f t="shared" si="14"/>
        <v>24282.83</v>
      </c>
      <c r="AO61" s="64">
        <f t="shared" si="13"/>
        <v>13343.81</v>
      </c>
      <c r="AP61" s="27"/>
      <c r="AQ61" s="49"/>
    </row>
    <row r="62" s="3" customFormat="true" ht="38.25" customHeight="true" spans="1:43">
      <c r="A62" s="17" t="s">
        <v>361</v>
      </c>
      <c r="B62" s="18">
        <v>59</v>
      </c>
      <c r="C62" s="19" t="s">
        <v>362</v>
      </c>
      <c r="D62" s="20" t="s">
        <v>363</v>
      </c>
      <c r="E62" s="20" t="s">
        <v>49</v>
      </c>
      <c r="F62" s="19" t="s">
        <v>50</v>
      </c>
      <c r="G62" s="27"/>
      <c r="H62" s="19" t="s">
        <v>362</v>
      </c>
      <c r="I62" s="34" t="s">
        <v>51</v>
      </c>
      <c r="J62" s="20" t="s">
        <v>364</v>
      </c>
      <c r="K62" s="35">
        <v>68.68</v>
      </c>
      <c r="L62" s="35">
        <v>6.87</v>
      </c>
      <c r="M62" s="35"/>
      <c r="N62" s="42">
        <v>75.03</v>
      </c>
      <c r="O62" s="42">
        <f t="shared" si="16"/>
        <v>6.35</v>
      </c>
      <c r="P62" s="35">
        <v>21977.6</v>
      </c>
      <c r="Q62" s="35">
        <v>1648.8</v>
      </c>
      <c r="R62" s="42">
        <f t="shared" si="17"/>
        <v>320</v>
      </c>
      <c r="S62" s="42" t="s">
        <v>59</v>
      </c>
      <c r="T62" s="47" t="s">
        <v>365</v>
      </c>
      <c r="U62" s="49"/>
      <c r="V62" s="27">
        <v>76.42</v>
      </c>
      <c r="W62" s="27"/>
      <c r="X62" s="27">
        <v>76.42</v>
      </c>
      <c r="Y62" s="50">
        <f t="shared" si="11"/>
        <v>2032</v>
      </c>
      <c r="Z62" s="27"/>
      <c r="AA62" s="51">
        <f t="shared" si="21"/>
        <v>2100.84</v>
      </c>
      <c r="AB62" s="27"/>
      <c r="AC62" s="27"/>
      <c r="AD62" s="27"/>
      <c r="AE62" s="27"/>
      <c r="AF62" s="27"/>
      <c r="AG62" s="27"/>
      <c r="AH62" s="51">
        <f>(X62-N62)*1500</f>
        <v>2085</v>
      </c>
      <c r="AI62" s="27"/>
      <c r="AJ62" s="53">
        <f>Y62+AA62+AE62+AF62+AG62+AH62</f>
        <v>6217.84</v>
      </c>
      <c r="AK62" s="59">
        <f t="shared" si="22"/>
        <v>62.18</v>
      </c>
      <c r="AL62" s="59">
        <f t="shared" si="12"/>
        <v>4413.26</v>
      </c>
      <c r="AM62" s="60">
        <v>1200</v>
      </c>
      <c r="AN62" s="59">
        <f t="shared" si="14"/>
        <v>11893.28</v>
      </c>
      <c r="AO62" s="64">
        <f t="shared" si="13"/>
        <v>13343.81</v>
      </c>
      <c r="AP62" s="27"/>
      <c r="AQ62" s="49"/>
    </row>
    <row r="63" s="3" customFormat="true" ht="38.25" customHeight="true" spans="1:43">
      <c r="A63" s="17" t="s">
        <v>366</v>
      </c>
      <c r="B63" s="18">
        <v>60</v>
      </c>
      <c r="C63" s="19" t="s">
        <v>367</v>
      </c>
      <c r="D63" s="20" t="s">
        <v>368</v>
      </c>
      <c r="E63" s="20" t="s">
        <v>131</v>
      </c>
      <c r="F63" s="19" t="s">
        <v>50</v>
      </c>
      <c r="G63" s="27"/>
      <c r="H63" s="19" t="s">
        <v>369</v>
      </c>
      <c r="I63" s="34" t="s">
        <v>51</v>
      </c>
      <c r="J63" s="38" t="s">
        <v>370</v>
      </c>
      <c r="K63" s="35">
        <v>85.31</v>
      </c>
      <c r="L63" s="30">
        <v>6.16</v>
      </c>
      <c r="M63" s="30"/>
      <c r="N63" s="42">
        <v>93.19</v>
      </c>
      <c r="O63" s="42">
        <f t="shared" si="16"/>
        <v>7.88</v>
      </c>
      <c r="P63" s="35">
        <v>28152.3</v>
      </c>
      <c r="Q63" s="35">
        <v>1478.4</v>
      </c>
      <c r="R63" s="42">
        <f t="shared" si="17"/>
        <v>330</v>
      </c>
      <c r="S63" s="42" t="s">
        <v>59</v>
      </c>
      <c r="T63" s="47" t="s">
        <v>371</v>
      </c>
      <c r="U63" s="49"/>
      <c r="V63" s="27">
        <v>78.29</v>
      </c>
      <c r="W63" s="27">
        <v>1.61</v>
      </c>
      <c r="X63" s="27">
        <v>76.68</v>
      </c>
      <c r="Y63" s="50">
        <f t="shared" si="11"/>
        <v>2600.4</v>
      </c>
      <c r="Z63" s="27"/>
      <c r="AA63" s="27">
        <f>V63*28</f>
        <v>2192.12</v>
      </c>
      <c r="AB63" s="27"/>
      <c r="AC63" s="27"/>
      <c r="AD63" s="27"/>
      <c r="AE63" s="27"/>
      <c r="AF63" s="27"/>
      <c r="AG63" s="27"/>
      <c r="AH63" s="27"/>
      <c r="AI63" s="27"/>
      <c r="AJ63" s="53">
        <f>Y63+AA63+AF63+AG63+AH63+AE63</f>
        <v>4792.52</v>
      </c>
      <c r="AK63" s="59">
        <f t="shared" si="22"/>
        <v>47.93</v>
      </c>
      <c r="AL63" s="59">
        <f t="shared" si="12"/>
        <v>4521.25</v>
      </c>
      <c r="AM63" s="60">
        <v>1200</v>
      </c>
      <c r="AN63" s="59">
        <f t="shared" si="14"/>
        <v>10561.7</v>
      </c>
      <c r="AO63" s="64">
        <f t="shared" si="13"/>
        <v>11964.75</v>
      </c>
      <c r="AP63" s="27">
        <f>(93.19-78.29)*1500</f>
        <v>22350</v>
      </c>
      <c r="AQ63" s="49"/>
    </row>
    <row r="64" s="3" customFormat="true" ht="38.25" customHeight="true" spans="1:43">
      <c r="A64" s="17" t="s">
        <v>372</v>
      </c>
      <c r="B64" s="18">
        <v>61</v>
      </c>
      <c r="C64" s="19" t="s">
        <v>373</v>
      </c>
      <c r="D64" s="20" t="s">
        <v>374</v>
      </c>
      <c r="E64" s="20" t="s">
        <v>49</v>
      </c>
      <c r="F64" s="19" t="s">
        <v>50</v>
      </c>
      <c r="G64" s="27"/>
      <c r="H64" s="19" t="s">
        <v>373</v>
      </c>
      <c r="I64" s="34" t="s">
        <v>51</v>
      </c>
      <c r="J64" s="20" t="s">
        <v>375</v>
      </c>
      <c r="K64" s="35">
        <v>67.36</v>
      </c>
      <c r="L64" s="35">
        <v>6.77</v>
      </c>
      <c r="M64" s="35"/>
      <c r="N64" s="42">
        <v>73.58</v>
      </c>
      <c r="O64" s="42">
        <f t="shared" si="16"/>
        <v>6.22</v>
      </c>
      <c r="P64" s="35">
        <v>21555.2</v>
      </c>
      <c r="Q64" s="35">
        <v>1624.8</v>
      </c>
      <c r="R64" s="42">
        <f t="shared" si="17"/>
        <v>320</v>
      </c>
      <c r="S64" s="42" t="s">
        <v>59</v>
      </c>
      <c r="T64" s="47" t="s">
        <v>376</v>
      </c>
      <c r="U64" s="49"/>
      <c r="V64" s="27">
        <v>78.29</v>
      </c>
      <c r="W64" s="27">
        <v>1.61</v>
      </c>
      <c r="X64" s="27">
        <v>76.68</v>
      </c>
      <c r="Y64" s="50">
        <f t="shared" si="11"/>
        <v>1990.4</v>
      </c>
      <c r="Z64" s="27"/>
      <c r="AA64" s="51">
        <f>N64*28</f>
        <v>2060.24</v>
      </c>
      <c r="AB64" s="27"/>
      <c r="AC64" s="27"/>
      <c r="AD64" s="27"/>
      <c r="AE64" s="51">
        <f>(75-73.58)*1500</f>
        <v>2130</v>
      </c>
      <c r="AF64" s="27"/>
      <c r="AG64" s="27"/>
      <c r="AH64" s="27">
        <f>1.68*1500</f>
        <v>2520</v>
      </c>
      <c r="AI64" s="27"/>
      <c r="AJ64" s="53">
        <f>Y64+AA64+AE64+AF64+AG64+AH64</f>
        <v>8700.64</v>
      </c>
      <c r="AK64" s="59">
        <f t="shared" si="22"/>
        <v>87.01</v>
      </c>
      <c r="AL64" s="59">
        <f t="shared" si="12"/>
        <v>4521.25</v>
      </c>
      <c r="AM64" s="60">
        <v>1200</v>
      </c>
      <c r="AN64" s="59">
        <f t="shared" si="14"/>
        <v>14508.9</v>
      </c>
      <c r="AO64" s="64">
        <f t="shared" si="13"/>
        <v>13149.57</v>
      </c>
      <c r="AP64" s="27"/>
      <c r="AQ64" s="49"/>
    </row>
    <row r="65" s="3" customFormat="true" ht="38.25" customHeight="true" spans="1:43">
      <c r="A65" s="17" t="s">
        <v>377</v>
      </c>
      <c r="B65" s="18">
        <v>62</v>
      </c>
      <c r="C65" s="19" t="s">
        <v>378</v>
      </c>
      <c r="D65" s="20" t="s">
        <v>379</v>
      </c>
      <c r="E65" s="20" t="s">
        <v>131</v>
      </c>
      <c r="F65" s="19" t="s">
        <v>50</v>
      </c>
      <c r="G65" s="27"/>
      <c r="H65" s="19" t="s">
        <v>380</v>
      </c>
      <c r="I65" s="34" t="s">
        <v>51</v>
      </c>
      <c r="J65" s="20" t="s">
        <v>381</v>
      </c>
      <c r="K65" s="35">
        <v>85.31</v>
      </c>
      <c r="L65" s="30">
        <v>6.16</v>
      </c>
      <c r="M65" s="30"/>
      <c r="N65" s="42">
        <v>93.19</v>
      </c>
      <c r="O65" s="42">
        <f t="shared" si="16"/>
        <v>7.88</v>
      </c>
      <c r="P65" s="35">
        <v>28152.3</v>
      </c>
      <c r="Q65" s="35">
        <v>1478.4</v>
      </c>
      <c r="R65" s="42">
        <f t="shared" si="17"/>
        <v>330</v>
      </c>
      <c r="S65" s="42" t="s">
        <v>59</v>
      </c>
      <c r="T65" s="47" t="s">
        <v>382</v>
      </c>
      <c r="U65" s="49"/>
      <c r="V65" s="27">
        <v>78.29</v>
      </c>
      <c r="W65" s="27">
        <v>1.61</v>
      </c>
      <c r="X65" s="27">
        <v>76.68</v>
      </c>
      <c r="Y65" s="50">
        <f t="shared" si="11"/>
        <v>2600.4</v>
      </c>
      <c r="Z65" s="27"/>
      <c r="AA65" s="27">
        <f>V65*28</f>
        <v>2192.12</v>
      </c>
      <c r="AB65" s="27"/>
      <c r="AC65" s="27"/>
      <c r="AD65" s="27"/>
      <c r="AE65" s="27"/>
      <c r="AF65" s="27"/>
      <c r="AG65" s="27"/>
      <c r="AH65" s="27"/>
      <c r="AI65" s="27"/>
      <c r="AJ65" s="53">
        <f>Y65+AA65+AF65+AG65+AH65+AE65</f>
        <v>4792.52</v>
      </c>
      <c r="AK65" s="59">
        <f t="shared" si="22"/>
        <v>47.93</v>
      </c>
      <c r="AL65" s="59">
        <f t="shared" si="12"/>
        <v>4521.25</v>
      </c>
      <c r="AM65" s="60">
        <v>1200</v>
      </c>
      <c r="AN65" s="59">
        <f t="shared" si="14"/>
        <v>10561.7</v>
      </c>
      <c r="AO65" s="64">
        <f t="shared" si="13"/>
        <v>11964.75</v>
      </c>
      <c r="AP65" s="27">
        <f>(93.19-78.29)*1500</f>
        <v>22350</v>
      </c>
      <c r="AQ65" s="49"/>
    </row>
    <row r="66" s="3" customFormat="true" ht="38.25" customHeight="true" spans="1:43">
      <c r="A66" s="17" t="s">
        <v>383</v>
      </c>
      <c r="B66" s="18">
        <v>63</v>
      </c>
      <c r="C66" s="19" t="s">
        <v>384</v>
      </c>
      <c r="D66" s="20" t="s">
        <v>385</v>
      </c>
      <c r="E66" s="20" t="s">
        <v>76</v>
      </c>
      <c r="F66" s="19" t="s">
        <v>50</v>
      </c>
      <c r="G66" s="27"/>
      <c r="H66" s="19" t="s">
        <v>384</v>
      </c>
      <c r="I66" s="34" t="s">
        <v>51</v>
      </c>
      <c r="J66" s="20" t="s">
        <v>386</v>
      </c>
      <c r="K66" s="35">
        <v>66.55</v>
      </c>
      <c r="L66" s="30">
        <v>6.6</v>
      </c>
      <c r="M66" s="30"/>
      <c r="N66" s="42">
        <v>72.7</v>
      </c>
      <c r="O66" s="42">
        <f t="shared" si="16"/>
        <v>6.15</v>
      </c>
      <c r="P66" s="35">
        <v>21296</v>
      </c>
      <c r="Q66" s="35">
        <v>1440</v>
      </c>
      <c r="R66" s="42">
        <f t="shared" si="17"/>
        <v>320</v>
      </c>
      <c r="S66" s="42" t="s">
        <v>59</v>
      </c>
      <c r="T66" s="47" t="s">
        <v>387</v>
      </c>
      <c r="U66" s="49"/>
      <c r="V66" s="27">
        <v>78.29</v>
      </c>
      <c r="W66" s="27">
        <v>1.61</v>
      </c>
      <c r="X66" s="27">
        <v>76.68</v>
      </c>
      <c r="Y66" s="50">
        <f t="shared" si="11"/>
        <v>1968</v>
      </c>
      <c r="Z66" s="27"/>
      <c r="AA66" s="51">
        <f>N66*28</f>
        <v>2035.6</v>
      </c>
      <c r="AB66" s="27"/>
      <c r="AC66" s="27"/>
      <c r="AD66" s="27"/>
      <c r="AE66" s="27">
        <f>(75-72.7)*1500</f>
        <v>3450</v>
      </c>
      <c r="AF66" s="27"/>
      <c r="AG66" s="27"/>
      <c r="AH66" s="27">
        <f>1.68*1500</f>
        <v>2520</v>
      </c>
      <c r="AI66" s="27"/>
      <c r="AJ66" s="53">
        <f>Y66+AA66+AE66+AF66+AG66+AH66</f>
        <v>9973.6</v>
      </c>
      <c r="AK66" s="59">
        <f t="shared" si="22"/>
        <v>99.74</v>
      </c>
      <c r="AL66" s="59">
        <f t="shared" si="12"/>
        <v>4521.25</v>
      </c>
      <c r="AM66" s="60">
        <v>1200</v>
      </c>
      <c r="AN66" s="59">
        <f t="shared" si="14"/>
        <v>15794.59</v>
      </c>
      <c r="AO66" s="64">
        <f t="shared" si="13"/>
        <v>12819.38</v>
      </c>
      <c r="AP66" s="27"/>
      <c r="AQ66" s="49"/>
    </row>
    <row r="67" s="3" customFormat="true" ht="38.25" customHeight="true" spans="1:43">
      <c r="A67" s="23" t="s">
        <v>388</v>
      </c>
      <c r="B67" s="18">
        <v>64</v>
      </c>
      <c r="C67" s="19" t="s">
        <v>389</v>
      </c>
      <c r="D67" s="20" t="s">
        <v>390</v>
      </c>
      <c r="E67" s="20" t="s">
        <v>49</v>
      </c>
      <c r="F67" s="19" t="s">
        <v>50</v>
      </c>
      <c r="G67" s="30"/>
      <c r="H67" s="19" t="s">
        <v>389</v>
      </c>
      <c r="I67" s="34" t="s">
        <v>51</v>
      </c>
      <c r="J67" s="20" t="s">
        <v>391</v>
      </c>
      <c r="K67" s="35">
        <v>81.34</v>
      </c>
      <c r="L67" s="35">
        <v>6.77</v>
      </c>
      <c r="M67" s="35"/>
      <c r="N67" s="42">
        <v>88.86</v>
      </c>
      <c r="O67" s="42">
        <f t="shared" si="16"/>
        <v>7.52</v>
      </c>
      <c r="P67" s="35">
        <v>26028.8</v>
      </c>
      <c r="Q67" s="35">
        <v>1624.8</v>
      </c>
      <c r="R67" s="42">
        <f t="shared" si="17"/>
        <v>320</v>
      </c>
      <c r="S67" s="42" t="s">
        <v>59</v>
      </c>
      <c r="T67" s="47" t="s">
        <v>392</v>
      </c>
      <c r="U67" s="19"/>
      <c r="V67" s="26">
        <v>95.41</v>
      </c>
      <c r="W67" s="50"/>
      <c r="X67" s="26">
        <v>95.41</v>
      </c>
      <c r="Y67" s="50">
        <f t="shared" ref="Y67:Y85" si="23">O67*R67</f>
        <v>2406.4</v>
      </c>
      <c r="Z67" s="51"/>
      <c r="AA67" s="51">
        <f>N67*28</f>
        <v>2488.08</v>
      </c>
      <c r="AB67" s="51"/>
      <c r="AC67" s="51"/>
      <c r="AD67" s="51"/>
      <c r="AE67" s="51"/>
      <c r="AF67" s="51">
        <f>(95-88.86)*2800</f>
        <v>17192</v>
      </c>
      <c r="AG67" s="51"/>
      <c r="AH67" s="51">
        <f>0.41*1500</f>
        <v>615</v>
      </c>
      <c r="AI67" s="51"/>
      <c r="AJ67" s="53">
        <f>Y67+AA67+AF67+AG67+AH67+AE67</f>
        <v>22701.48</v>
      </c>
      <c r="AK67" s="59">
        <f t="shared" ref="AK67:AK78" si="24">AJ67*0.015</f>
        <v>340.52</v>
      </c>
      <c r="AL67" s="59">
        <f t="shared" ref="AL67:AL97" si="25">V67*1155*0.05</f>
        <v>5509.93</v>
      </c>
      <c r="AM67" s="60">
        <v>1200</v>
      </c>
      <c r="AN67" s="59">
        <f t="shared" si="14"/>
        <v>29751.93</v>
      </c>
      <c r="AO67" s="64">
        <f t="shared" ref="AO67:AO92" si="26">L67*1942.33</f>
        <v>13149.57</v>
      </c>
      <c r="AP67" s="51"/>
      <c r="AQ67" s="51"/>
    </row>
    <row r="68" s="3" customFormat="true" ht="38.25" customHeight="true" spans="1:43">
      <c r="A68" s="24" t="s">
        <v>393</v>
      </c>
      <c r="B68" s="18">
        <v>65</v>
      </c>
      <c r="C68" s="19" t="s">
        <v>394</v>
      </c>
      <c r="D68" s="20" t="s">
        <v>395</v>
      </c>
      <c r="E68" s="20" t="s">
        <v>49</v>
      </c>
      <c r="F68" s="19" t="s">
        <v>50</v>
      </c>
      <c r="G68" s="20"/>
      <c r="H68" s="19" t="s">
        <v>394</v>
      </c>
      <c r="I68" s="34" t="s">
        <v>51</v>
      </c>
      <c r="J68" s="20" t="s">
        <v>396</v>
      </c>
      <c r="K68" s="35">
        <v>80.66</v>
      </c>
      <c r="L68" s="30">
        <v>6.6</v>
      </c>
      <c r="M68" s="30"/>
      <c r="N68" s="42">
        <v>88.11</v>
      </c>
      <c r="O68" s="42">
        <f t="shared" si="16"/>
        <v>7.45</v>
      </c>
      <c r="P68" s="35">
        <v>25811.2</v>
      </c>
      <c r="Q68" s="35">
        <v>1440</v>
      </c>
      <c r="R68" s="42">
        <f t="shared" si="17"/>
        <v>320</v>
      </c>
      <c r="S68" s="42" t="s">
        <v>59</v>
      </c>
      <c r="T68" s="47" t="s">
        <v>397</v>
      </c>
      <c r="U68" s="19"/>
      <c r="V68" s="26">
        <v>95.41</v>
      </c>
      <c r="W68" s="50"/>
      <c r="X68" s="26">
        <v>95.41</v>
      </c>
      <c r="Y68" s="50">
        <f t="shared" si="23"/>
        <v>2384</v>
      </c>
      <c r="Z68" s="51"/>
      <c r="AA68" s="51">
        <f>N68*28</f>
        <v>2467.08</v>
      </c>
      <c r="AB68" s="51"/>
      <c r="AC68" s="52"/>
      <c r="AD68" s="52"/>
      <c r="AE68" s="52"/>
      <c r="AF68" s="51">
        <f>(95-88.11)*2800</f>
        <v>19292</v>
      </c>
      <c r="AG68" s="52"/>
      <c r="AH68" s="51">
        <f>0.41*1500</f>
        <v>615</v>
      </c>
      <c r="AI68" s="52"/>
      <c r="AJ68" s="53">
        <f>Y68+AA68+AE68+AF68+AG68+AH68</f>
        <v>24758.08</v>
      </c>
      <c r="AK68" s="59">
        <f t="shared" si="24"/>
        <v>371.37</v>
      </c>
      <c r="AL68" s="59">
        <f t="shared" si="25"/>
        <v>5509.93</v>
      </c>
      <c r="AM68" s="60">
        <v>1200</v>
      </c>
      <c r="AN68" s="59">
        <f t="shared" ref="AN68:AN98" si="27">SUM(AJ68:AM68)</f>
        <v>31839.38</v>
      </c>
      <c r="AO68" s="64">
        <f t="shared" si="26"/>
        <v>12819.38</v>
      </c>
      <c r="AP68" s="65"/>
      <c r="AQ68" s="52"/>
    </row>
    <row r="69" s="3" customFormat="true" ht="38.25" customHeight="true" spans="1:43">
      <c r="A69" s="24" t="s">
        <v>398</v>
      </c>
      <c r="B69" s="18">
        <v>66</v>
      </c>
      <c r="C69" s="19" t="s">
        <v>399</v>
      </c>
      <c r="D69" s="20" t="s">
        <v>400</v>
      </c>
      <c r="E69" s="20" t="s">
        <v>49</v>
      </c>
      <c r="F69" s="19" t="s">
        <v>50</v>
      </c>
      <c r="G69" s="20"/>
      <c r="H69" s="19" t="s">
        <v>399</v>
      </c>
      <c r="I69" s="34" t="s">
        <v>51</v>
      </c>
      <c r="J69" s="20" t="s">
        <v>401</v>
      </c>
      <c r="K69" s="35">
        <v>85.31</v>
      </c>
      <c r="L69" s="35">
        <v>6.16</v>
      </c>
      <c r="M69" s="35"/>
      <c r="N69" s="42">
        <v>93.19</v>
      </c>
      <c r="O69" s="42">
        <f t="shared" si="16"/>
        <v>7.88</v>
      </c>
      <c r="P69" s="35">
        <v>28152</v>
      </c>
      <c r="Q69" s="35">
        <v>1478.4</v>
      </c>
      <c r="R69" s="42">
        <f t="shared" si="17"/>
        <v>330</v>
      </c>
      <c r="S69" s="42" t="s">
        <v>59</v>
      </c>
      <c r="T69" s="47" t="s">
        <v>402</v>
      </c>
      <c r="U69" s="19"/>
      <c r="V69" s="26">
        <v>95.41</v>
      </c>
      <c r="W69" s="50"/>
      <c r="X69" s="26">
        <v>95.41</v>
      </c>
      <c r="Y69" s="50">
        <f t="shared" si="23"/>
        <v>2600.4</v>
      </c>
      <c r="Z69" s="51"/>
      <c r="AA69" s="51">
        <f>N69*28</f>
        <v>2609.32</v>
      </c>
      <c r="AB69" s="51"/>
      <c r="AC69" s="52"/>
      <c r="AD69" s="52"/>
      <c r="AE69" s="51"/>
      <c r="AF69" s="28">
        <f>(95-93.19)*2800</f>
        <v>5068.00000000001</v>
      </c>
      <c r="AG69" s="52"/>
      <c r="AH69" s="51">
        <f>0.41*1500</f>
        <v>615</v>
      </c>
      <c r="AI69" s="52"/>
      <c r="AJ69" s="53">
        <f>Y69+AA69+AF69+AG69+AH69+AE69</f>
        <v>10892.72</v>
      </c>
      <c r="AK69" s="59">
        <f t="shared" si="24"/>
        <v>163.39</v>
      </c>
      <c r="AL69" s="59">
        <f t="shared" si="25"/>
        <v>5509.93</v>
      </c>
      <c r="AM69" s="60">
        <v>1200</v>
      </c>
      <c r="AN69" s="59">
        <f t="shared" si="27"/>
        <v>17766.04</v>
      </c>
      <c r="AO69" s="64">
        <f t="shared" si="26"/>
        <v>11964.75</v>
      </c>
      <c r="AP69" s="65"/>
      <c r="AQ69" s="52"/>
    </row>
    <row r="70" s="3" customFormat="true" ht="38.25" customHeight="true" spans="1:43">
      <c r="A70" s="17" t="s">
        <v>403</v>
      </c>
      <c r="B70" s="18">
        <v>67</v>
      </c>
      <c r="C70" s="19" t="s">
        <v>404</v>
      </c>
      <c r="D70" s="20" t="s">
        <v>405</v>
      </c>
      <c r="E70" s="20" t="s">
        <v>49</v>
      </c>
      <c r="F70" s="19" t="s">
        <v>50</v>
      </c>
      <c r="G70" s="27"/>
      <c r="H70" s="19" t="s">
        <v>404</v>
      </c>
      <c r="I70" s="34" t="s">
        <v>51</v>
      </c>
      <c r="J70" s="20" t="s">
        <v>406</v>
      </c>
      <c r="K70" s="35">
        <v>102.1</v>
      </c>
      <c r="L70" s="30">
        <v>7.86</v>
      </c>
      <c r="M70" s="30"/>
      <c r="N70" s="42">
        <v>111.53</v>
      </c>
      <c r="O70" s="42">
        <f t="shared" si="16"/>
        <v>9.43</v>
      </c>
      <c r="P70" s="35">
        <v>32672</v>
      </c>
      <c r="Q70" s="35">
        <v>1886.4</v>
      </c>
      <c r="R70" s="42">
        <f t="shared" si="17"/>
        <v>320</v>
      </c>
      <c r="S70" s="42" t="s">
        <v>59</v>
      </c>
      <c r="T70" s="47" t="s">
        <v>407</v>
      </c>
      <c r="U70" s="49"/>
      <c r="V70" s="26">
        <v>95.41</v>
      </c>
      <c r="W70" s="27"/>
      <c r="X70" s="26">
        <v>95.41</v>
      </c>
      <c r="Y70" s="50">
        <f t="shared" si="23"/>
        <v>3017.6</v>
      </c>
      <c r="Z70" s="27"/>
      <c r="AA70" s="27">
        <f>V70*28</f>
        <v>2671.48</v>
      </c>
      <c r="AB70" s="27"/>
      <c r="AC70" s="27"/>
      <c r="AD70" s="27"/>
      <c r="AE70" s="27"/>
      <c r="AF70" s="27"/>
      <c r="AG70" s="27"/>
      <c r="AH70" s="27"/>
      <c r="AI70" s="27"/>
      <c r="AJ70" s="53">
        <f>Y70+AA70+AF70+AG70+AH70+AE70</f>
        <v>5689.08</v>
      </c>
      <c r="AK70" s="59">
        <f t="shared" si="24"/>
        <v>85.34</v>
      </c>
      <c r="AL70" s="59">
        <f t="shared" si="25"/>
        <v>5509.93</v>
      </c>
      <c r="AM70" s="60">
        <v>1200</v>
      </c>
      <c r="AN70" s="59">
        <f t="shared" si="27"/>
        <v>12484.35</v>
      </c>
      <c r="AO70" s="64">
        <f t="shared" si="26"/>
        <v>15266.71</v>
      </c>
      <c r="AP70" s="27">
        <f>(111.53-95.41)*1500</f>
        <v>24180</v>
      </c>
      <c r="AQ70" s="49"/>
    </row>
    <row r="71" s="3" customFormat="true" ht="38.25" customHeight="true" spans="1:43">
      <c r="A71" s="17" t="s">
        <v>408</v>
      </c>
      <c r="B71" s="18">
        <v>68</v>
      </c>
      <c r="C71" s="19" t="s">
        <v>409</v>
      </c>
      <c r="D71" s="20" t="s">
        <v>410</v>
      </c>
      <c r="E71" s="20" t="s">
        <v>49</v>
      </c>
      <c r="F71" s="19" t="s">
        <v>50</v>
      </c>
      <c r="G71" s="27"/>
      <c r="H71" s="19" t="s">
        <v>409</v>
      </c>
      <c r="I71" s="34" t="s">
        <v>51</v>
      </c>
      <c r="J71" s="20" t="s">
        <v>411</v>
      </c>
      <c r="K71" s="35">
        <v>85.7</v>
      </c>
      <c r="L71" s="30">
        <v>7.86</v>
      </c>
      <c r="M71" s="30"/>
      <c r="N71" s="42">
        <v>93.62</v>
      </c>
      <c r="O71" s="42">
        <f t="shared" si="16"/>
        <v>7.92</v>
      </c>
      <c r="P71" s="35">
        <v>27424</v>
      </c>
      <c r="Q71" s="35">
        <v>1886.4</v>
      </c>
      <c r="R71" s="42">
        <f t="shared" si="17"/>
        <v>320</v>
      </c>
      <c r="S71" s="42" t="s">
        <v>59</v>
      </c>
      <c r="T71" s="47" t="s">
        <v>412</v>
      </c>
      <c r="U71" s="49"/>
      <c r="V71" s="27">
        <v>95.38</v>
      </c>
      <c r="W71" s="27"/>
      <c r="X71" s="27">
        <v>95.38</v>
      </c>
      <c r="Y71" s="50">
        <f t="shared" si="23"/>
        <v>2534.4</v>
      </c>
      <c r="Z71" s="27"/>
      <c r="AA71" s="27">
        <f>V71*28</f>
        <v>2670.64</v>
      </c>
      <c r="AB71" s="27"/>
      <c r="AC71" s="27"/>
      <c r="AD71" s="27"/>
      <c r="AE71" s="27"/>
      <c r="AF71" s="27">
        <f>(95-93.62)*2800</f>
        <v>3863.99999999999</v>
      </c>
      <c r="AG71" s="27"/>
      <c r="AH71" s="27">
        <f t="shared" ref="AH71:AH78" si="28">0.38*1500</f>
        <v>570</v>
      </c>
      <c r="AI71" s="27"/>
      <c r="AJ71" s="53">
        <f>Y71+AA71+AF71+AG71+AH71+AE71</f>
        <v>9639.04</v>
      </c>
      <c r="AK71" s="59">
        <f t="shared" si="24"/>
        <v>144.59</v>
      </c>
      <c r="AL71" s="59">
        <f t="shared" si="25"/>
        <v>5508.2</v>
      </c>
      <c r="AM71" s="60">
        <v>1200</v>
      </c>
      <c r="AN71" s="59">
        <f t="shared" si="27"/>
        <v>16491.83</v>
      </c>
      <c r="AO71" s="64">
        <f t="shared" si="26"/>
        <v>15266.71</v>
      </c>
      <c r="AP71" s="27"/>
      <c r="AQ71" s="49"/>
    </row>
    <row r="72" s="3" customFormat="true" ht="38.25" customHeight="true" spans="1:43">
      <c r="A72" s="23" t="s">
        <v>413</v>
      </c>
      <c r="B72" s="18">
        <v>69</v>
      </c>
      <c r="C72" s="19" t="s">
        <v>414</v>
      </c>
      <c r="D72" s="20" t="s">
        <v>415</v>
      </c>
      <c r="E72" s="20" t="s">
        <v>49</v>
      </c>
      <c r="F72" s="70" t="s">
        <v>416</v>
      </c>
      <c r="G72" s="19" t="s">
        <v>417</v>
      </c>
      <c r="H72" s="19" t="s">
        <v>414</v>
      </c>
      <c r="I72" s="34" t="s">
        <v>51</v>
      </c>
      <c r="J72" s="20" t="s">
        <v>418</v>
      </c>
      <c r="K72" s="35">
        <v>67.36</v>
      </c>
      <c r="L72" s="35">
        <v>6.77</v>
      </c>
      <c r="M72" s="35"/>
      <c r="N72" s="42">
        <v>73.58</v>
      </c>
      <c r="O72" s="42">
        <f t="shared" si="16"/>
        <v>6.22</v>
      </c>
      <c r="P72" s="35">
        <v>21555.2</v>
      </c>
      <c r="Q72" s="35">
        <v>1624.8</v>
      </c>
      <c r="R72" s="42">
        <f t="shared" si="17"/>
        <v>320</v>
      </c>
      <c r="S72" s="42" t="s">
        <v>59</v>
      </c>
      <c r="T72" s="47" t="s">
        <v>419</v>
      </c>
      <c r="U72" s="19"/>
      <c r="V72" s="27">
        <v>95.38</v>
      </c>
      <c r="W72" s="50"/>
      <c r="X72" s="27">
        <v>95.38</v>
      </c>
      <c r="Y72" s="50">
        <f t="shared" si="23"/>
        <v>1990.4</v>
      </c>
      <c r="Z72" s="51"/>
      <c r="AA72" s="51">
        <f>N72*28</f>
        <v>2060.24</v>
      </c>
      <c r="AB72" s="51"/>
      <c r="AC72" s="51"/>
      <c r="AD72" s="51"/>
      <c r="AE72" s="51">
        <f>(75-73.58)*1500</f>
        <v>2130</v>
      </c>
      <c r="AF72" s="51"/>
      <c r="AG72" s="51"/>
      <c r="AH72" s="51">
        <f t="shared" si="28"/>
        <v>570</v>
      </c>
      <c r="AI72" s="51">
        <v>30000</v>
      </c>
      <c r="AJ72" s="53">
        <f>Y72+AA72+AE72+AF72+AG72+AH72+AI72</f>
        <v>36750.64</v>
      </c>
      <c r="AK72" s="59">
        <f t="shared" si="24"/>
        <v>551.26</v>
      </c>
      <c r="AL72" s="59">
        <f t="shared" si="25"/>
        <v>5508.2</v>
      </c>
      <c r="AM72" s="60">
        <v>1200</v>
      </c>
      <c r="AN72" s="59">
        <f t="shared" si="27"/>
        <v>44010.1</v>
      </c>
      <c r="AO72" s="64">
        <f t="shared" si="26"/>
        <v>13149.57</v>
      </c>
      <c r="AP72" s="51"/>
      <c r="AQ72" s="51"/>
    </row>
    <row r="73" s="3" customFormat="true" ht="38.25" customHeight="true" spans="1:43">
      <c r="A73" s="24" t="s">
        <v>420</v>
      </c>
      <c r="B73" s="18">
        <v>70</v>
      </c>
      <c r="C73" s="19" t="s">
        <v>421</v>
      </c>
      <c r="D73" s="20" t="s">
        <v>422</v>
      </c>
      <c r="E73" s="20" t="s">
        <v>49</v>
      </c>
      <c r="F73" s="19" t="s">
        <v>50</v>
      </c>
      <c r="G73" s="20"/>
      <c r="H73" s="19" t="s">
        <v>421</v>
      </c>
      <c r="I73" s="34" t="s">
        <v>51</v>
      </c>
      <c r="J73" s="20" t="s">
        <v>423</v>
      </c>
      <c r="K73" s="35">
        <v>80.66</v>
      </c>
      <c r="L73" s="30">
        <v>6.6</v>
      </c>
      <c r="M73" s="30"/>
      <c r="N73" s="42">
        <v>88.11</v>
      </c>
      <c r="O73" s="42">
        <f t="shared" si="16"/>
        <v>7.45</v>
      </c>
      <c r="P73" s="35">
        <v>25811.2</v>
      </c>
      <c r="Q73" s="35">
        <v>1440</v>
      </c>
      <c r="R73" s="42">
        <f t="shared" si="17"/>
        <v>320</v>
      </c>
      <c r="S73" s="42" t="s">
        <v>59</v>
      </c>
      <c r="T73" s="47" t="s">
        <v>424</v>
      </c>
      <c r="U73" s="19"/>
      <c r="V73" s="27">
        <v>95.38</v>
      </c>
      <c r="W73" s="50"/>
      <c r="X73" s="27">
        <v>95.38</v>
      </c>
      <c r="Y73" s="50">
        <f t="shared" si="23"/>
        <v>2384</v>
      </c>
      <c r="Z73" s="52"/>
      <c r="AA73" s="51">
        <f>N73*28</f>
        <v>2467.08</v>
      </c>
      <c r="AB73" s="51"/>
      <c r="AC73" s="52"/>
      <c r="AD73" s="52"/>
      <c r="AE73" s="52"/>
      <c r="AF73" s="51">
        <f>(95-88.11)*2800</f>
        <v>19292</v>
      </c>
      <c r="AG73" s="52"/>
      <c r="AH73" s="51">
        <f t="shared" si="28"/>
        <v>570</v>
      </c>
      <c r="AI73" s="52"/>
      <c r="AJ73" s="53">
        <f>Y73+AA73+AE73+AF73+AG73+AH73</f>
        <v>24713.08</v>
      </c>
      <c r="AK73" s="59">
        <f t="shared" si="24"/>
        <v>370.7</v>
      </c>
      <c r="AL73" s="59">
        <f t="shared" si="25"/>
        <v>5508.2</v>
      </c>
      <c r="AM73" s="60">
        <v>1200</v>
      </c>
      <c r="AN73" s="59">
        <f t="shared" si="27"/>
        <v>31791.98</v>
      </c>
      <c r="AO73" s="64">
        <f t="shared" si="26"/>
        <v>12819.38</v>
      </c>
      <c r="AP73" s="65"/>
      <c r="AQ73" s="52"/>
    </row>
    <row r="74" s="3" customFormat="true" ht="38.25" customHeight="true" spans="1:43">
      <c r="A74" s="23" t="s">
        <v>425</v>
      </c>
      <c r="B74" s="18">
        <v>71</v>
      </c>
      <c r="C74" s="19" t="s">
        <v>426</v>
      </c>
      <c r="D74" s="20" t="s">
        <v>427</v>
      </c>
      <c r="E74" s="20" t="s">
        <v>49</v>
      </c>
      <c r="F74" s="19" t="s">
        <v>50</v>
      </c>
      <c r="G74" s="29"/>
      <c r="H74" s="19" t="s">
        <v>426</v>
      </c>
      <c r="I74" s="34" t="s">
        <v>51</v>
      </c>
      <c r="J74" s="20" t="s">
        <v>428</v>
      </c>
      <c r="K74" s="35">
        <v>81.34</v>
      </c>
      <c r="L74" s="35">
        <v>6.77</v>
      </c>
      <c r="M74" s="35"/>
      <c r="N74" s="42">
        <v>88.86</v>
      </c>
      <c r="O74" s="42">
        <f t="shared" si="16"/>
        <v>7.52</v>
      </c>
      <c r="P74" s="35">
        <v>26028.8</v>
      </c>
      <c r="Q74" s="35">
        <v>1624.8</v>
      </c>
      <c r="R74" s="42">
        <f t="shared" si="17"/>
        <v>320</v>
      </c>
      <c r="S74" s="42" t="s">
        <v>59</v>
      </c>
      <c r="T74" s="47" t="s">
        <v>429</v>
      </c>
      <c r="U74" s="19"/>
      <c r="V74" s="27">
        <v>95.38</v>
      </c>
      <c r="W74" s="50"/>
      <c r="X74" s="27">
        <v>95.38</v>
      </c>
      <c r="Y74" s="50">
        <f t="shared" si="23"/>
        <v>2406.4</v>
      </c>
      <c r="Z74" s="51"/>
      <c r="AA74" s="51">
        <f>N74*28</f>
        <v>2488.08</v>
      </c>
      <c r="AB74" s="51"/>
      <c r="AC74" s="51"/>
      <c r="AD74" s="51"/>
      <c r="AE74" s="51"/>
      <c r="AF74" s="51">
        <f>(95-88.86)*2800</f>
        <v>17192</v>
      </c>
      <c r="AG74" s="51"/>
      <c r="AH74" s="51">
        <f t="shared" si="28"/>
        <v>570</v>
      </c>
      <c r="AI74" s="51"/>
      <c r="AJ74" s="53">
        <f>Y74+AA74+AF74+AG74+AH74+AE74</f>
        <v>22656.48</v>
      </c>
      <c r="AK74" s="59">
        <f t="shared" si="24"/>
        <v>339.85</v>
      </c>
      <c r="AL74" s="59">
        <f t="shared" si="25"/>
        <v>5508.2</v>
      </c>
      <c r="AM74" s="60">
        <v>1200</v>
      </c>
      <c r="AN74" s="59">
        <f t="shared" si="27"/>
        <v>29704.53</v>
      </c>
      <c r="AO74" s="64">
        <f t="shared" si="26"/>
        <v>13149.57</v>
      </c>
      <c r="AP74" s="51"/>
      <c r="AQ74" s="51"/>
    </row>
    <row r="75" s="3" customFormat="true" ht="38.25" customHeight="true" spans="1:43">
      <c r="A75" s="17" t="s">
        <v>430</v>
      </c>
      <c r="B75" s="18">
        <v>72</v>
      </c>
      <c r="C75" s="19" t="s">
        <v>431</v>
      </c>
      <c r="D75" s="20" t="s">
        <v>432</v>
      </c>
      <c r="E75" s="20" t="s">
        <v>76</v>
      </c>
      <c r="F75" s="19" t="s">
        <v>50</v>
      </c>
      <c r="G75" s="27"/>
      <c r="H75" s="19" t="s">
        <v>433</v>
      </c>
      <c r="I75" s="34" t="s">
        <v>51</v>
      </c>
      <c r="J75" s="20" t="s">
        <v>434</v>
      </c>
      <c r="K75" s="35">
        <v>85.7</v>
      </c>
      <c r="L75" s="30">
        <v>7.86</v>
      </c>
      <c r="M75" s="30"/>
      <c r="N75" s="42">
        <v>93.62</v>
      </c>
      <c r="O75" s="27"/>
      <c r="P75" s="35"/>
      <c r="Q75" s="35"/>
      <c r="R75" s="27"/>
      <c r="S75" s="42" t="s">
        <v>59</v>
      </c>
      <c r="T75" s="47" t="s">
        <v>435</v>
      </c>
      <c r="U75" s="49"/>
      <c r="V75" s="27">
        <v>95.38</v>
      </c>
      <c r="W75" s="27"/>
      <c r="X75" s="27">
        <v>95.38</v>
      </c>
      <c r="Y75" s="50">
        <f t="shared" si="23"/>
        <v>0</v>
      </c>
      <c r="Z75" s="27"/>
      <c r="AA75" s="27"/>
      <c r="AB75" s="27"/>
      <c r="AC75" s="27"/>
      <c r="AD75" s="27"/>
      <c r="AE75" s="27"/>
      <c r="AF75" s="27">
        <f>(95-93.62)*2800</f>
        <v>3863.99999999999</v>
      </c>
      <c r="AG75" s="27"/>
      <c r="AH75" s="27">
        <f t="shared" si="28"/>
        <v>570</v>
      </c>
      <c r="AI75" s="27"/>
      <c r="AJ75" s="53">
        <f>Y75+AA75+AF75+AG75+AH75+AE75</f>
        <v>4434</v>
      </c>
      <c r="AK75" s="59">
        <f t="shared" si="24"/>
        <v>66.51</v>
      </c>
      <c r="AL75" s="59">
        <f t="shared" si="25"/>
        <v>5508.2</v>
      </c>
      <c r="AM75" s="60">
        <v>1200</v>
      </c>
      <c r="AN75" s="59">
        <f t="shared" si="27"/>
        <v>11208.71</v>
      </c>
      <c r="AO75" s="64">
        <f t="shared" si="26"/>
        <v>15266.71</v>
      </c>
      <c r="AP75" s="27"/>
      <c r="AQ75" s="35" t="s">
        <v>79</v>
      </c>
    </row>
    <row r="76" s="3" customFormat="true" ht="38.25" customHeight="true" spans="1:43">
      <c r="A76" s="24" t="s">
        <v>436</v>
      </c>
      <c r="B76" s="18">
        <v>73</v>
      </c>
      <c r="C76" s="66" t="s">
        <v>437</v>
      </c>
      <c r="D76" s="20" t="s">
        <v>438</v>
      </c>
      <c r="E76" s="20" t="s">
        <v>49</v>
      </c>
      <c r="F76" s="19" t="s">
        <v>50</v>
      </c>
      <c r="G76" s="19"/>
      <c r="H76" s="66" t="s">
        <v>437</v>
      </c>
      <c r="I76" s="34" t="s">
        <v>51</v>
      </c>
      <c r="J76" s="20" t="s">
        <v>439</v>
      </c>
      <c r="K76" s="20" t="s">
        <v>440</v>
      </c>
      <c r="L76" s="20" t="s">
        <v>249</v>
      </c>
      <c r="M76" s="20"/>
      <c r="N76" s="42">
        <v>88.86</v>
      </c>
      <c r="O76" s="42">
        <f t="shared" ref="O76:O85" si="29">N76-K76</f>
        <v>7.52</v>
      </c>
      <c r="P76" s="35">
        <v>26028.8</v>
      </c>
      <c r="Q76" s="35">
        <v>1624.8</v>
      </c>
      <c r="R76" s="42">
        <f t="shared" ref="R76:R85" si="30">P76/K76</f>
        <v>320</v>
      </c>
      <c r="S76" s="42" t="s">
        <v>59</v>
      </c>
      <c r="T76" s="47" t="s">
        <v>441</v>
      </c>
      <c r="U76" s="19"/>
      <c r="V76" s="27">
        <v>95.38</v>
      </c>
      <c r="W76" s="50"/>
      <c r="X76" s="27">
        <v>95.38</v>
      </c>
      <c r="Y76" s="50">
        <f t="shared" si="23"/>
        <v>2406.4</v>
      </c>
      <c r="Z76" s="52"/>
      <c r="AA76" s="51">
        <f>N76*28</f>
        <v>2488.08</v>
      </c>
      <c r="AB76" s="51"/>
      <c r="AC76" s="52"/>
      <c r="AD76" s="52"/>
      <c r="AE76" s="51"/>
      <c r="AF76" s="51">
        <f>(95-88.86)*2800</f>
        <v>17192</v>
      </c>
      <c r="AG76" s="51"/>
      <c r="AH76" s="51">
        <f t="shared" si="28"/>
        <v>570</v>
      </c>
      <c r="AI76" s="51"/>
      <c r="AJ76" s="53">
        <f>Y76+AA76+AF76+AG76+AH76+AE76</f>
        <v>22656.48</v>
      </c>
      <c r="AK76" s="59">
        <f t="shared" si="24"/>
        <v>339.85</v>
      </c>
      <c r="AL76" s="59">
        <f t="shared" si="25"/>
        <v>5508.2</v>
      </c>
      <c r="AM76" s="60">
        <v>1200</v>
      </c>
      <c r="AN76" s="59">
        <f t="shared" si="27"/>
        <v>29704.53</v>
      </c>
      <c r="AO76" s="64">
        <f t="shared" si="26"/>
        <v>13149.57</v>
      </c>
      <c r="AP76" s="51"/>
      <c r="AQ76" s="51"/>
    </row>
    <row r="77" s="3" customFormat="true" ht="38.25" customHeight="true" spans="1:43">
      <c r="A77" s="23" t="s">
        <v>442</v>
      </c>
      <c r="B77" s="18">
        <v>74</v>
      </c>
      <c r="C77" s="19" t="s">
        <v>443</v>
      </c>
      <c r="D77" s="20" t="s">
        <v>444</v>
      </c>
      <c r="E77" s="20" t="s">
        <v>49</v>
      </c>
      <c r="F77" s="19" t="s">
        <v>50</v>
      </c>
      <c r="G77" s="29"/>
      <c r="H77" s="19" t="s">
        <v>443</v>
      </c>
      <c r="I77" s="34" t="s">
        <v>51</v>
      </c>
      <c r="J77" s="20" t="s">
        <v>445</v>
      </c>
      <c r="K77" s="35">
        <v>80.66</v>
      </c>
      <c r="L77" s="30">
        <v>6.6</v>
      </c>
      <c r="M77" s="30"/>
      <c r="N77" s="42">
        <v>88.11</v>
      </c>
      <c r="O77" s="42">
        <f t="shared" si="29"/>
        <v>7.45</v>
      </c>
      <c r="P77" s="35">
        <v>25811.2</v>
      </c>
      <c r="Q77" s="35">
        <v>1440</v>
      </c>
      <c r="R77" s="42">
        <f t="shared" si="30"/>
        <v>320</v>
      </c>
      <c r="S77" s="42" t="s">
        <v>59</v>
      </c>
      <c r="T77" s="47" t="s">
        <v>446</v>
      </c>
      <c r="U77" s="19"/>
      <c r="V77" s="27">
        <v>95.38</v>
      </c>
      <c r="W77" s="50"/>
      <c r="X77" s="27">
        <v>95.38</v>
      </c>
      <c r="Y77" s="50">
        <f t="shared" si="23"/>
        <v>2384</v>
      </c>
      <c r="Z77" s="51"/>
      <c r="AA77" s="51">
        <f>N77*28</f>
        <v>2467.08</v>
      </c>
      <c r="AB77" s="51"/>
      <c r="AC77" s="51"/>
      <c r="AD77" s="51"/>
      <c r="AE77" s="51"/>
      <c r="AF77" s="51">
        <f>(95-88.11)*2800</f>
        <v>19292</v>
      </c>
      <c r="AG77" s="51"/>
      <c r="AH77" s="51">
        <f t="shared" si="28"/>
        <v>570</v>
      </c>
      <c r="AI77" s="52"/>
      <c r="AJ77" s="53">
        <f>Y77+AA77+AE77+AF77+AG77+AH77</f>
        <v>24713.08</v>
      </c>
      <c r="AK77" s="59">
        <f t="shared" si="24"/>
        <v>370.7</v>
      </c>
      <c r="AL77" s="59">
        <f t="shared" si="25"/>
        <v>5508.2</v>
      </c>
      <c r="AM77" s="60">
        <v>1200</v>
      </c>
      <c r="AN77" s="59">
        <f t="shared" si="27"/>
        <v>31791.98</v>
      </c>
      <c r="AO77" s="64">
        <f t="shared" si="26"/>
        <v>12819.38</v>
      </c>
      <c r="AP77" s="51"/>
      <c r="AQ77" s="51"/>
    </row>
    <row r="78" s="2" customFormat="true" ht="27" spans="1:43">
      <c r="A78" s="24" t="s">
        <v>447</v>
      </c>
      <c r="B78" s="18">
        <v>75</v>
      </c>
      <c r="C78" s="19" t="s">
        <v>448</v>
      </c>
      <c r="D78" s="20" t="s">
        <v>449</v>
      </c>
      <c r="E78" s="20" t="s">
        <v>49</v>
      </c>
      <c r="F78" s="19" t="s">
        <v>50</v>
      </c>
      <c r="G78" s="19"/>
      <c r="H78" s="19" t="s">
        <v>448</v>
      </c>
      <c r="I78" s="34" t="s">
        <v>51</v>
      </c>
      <c r="J78" s="20" t="s">
        <v>450</v>
      </c>
      <c r="K78" s="35">
        <v>80.66</v>
      </c>
      <c r="L78" s="30">
        <v>6.6</v>
      </c>
      <c r="M78" s="30"/>
      <c r="N78" s="42">
        <v>88.11</v>
      </c>
      <c r="O78" s="42">
        <f t="shared" si="29"/>
        <v>7.45</v>
      </c>
      <c r="P78" s="35">
        <v>25811.2</v>
      </c>
      <c r="Q78" s="35">
        <v>1440</v>
      </c>
      <c r="R78" s="42">
        <f t="shared" si="30"/>
        <v>320</v>
      </c>
      <c r="S78" s="42" t="s">
        <v>59</v>
      </c>
      <c r="T78" s="47" t="s">
        <v>451</v>
      </c>
      <c r="U78" s="19"/>
      <c r="V78" s="27">
        <v>95.38</v>
      </c>
      <c r="W78" s="50"/>
      <c r="X78" s="27">
        <v>95.38</v>
      </c>
      <c r="Y78" s="50">
        <f t="shared" si="23"/>
        <v>2384</v>
      </c>
      <c r="Z78" s="51"/>
      <c r="AA78" s="51">
        <f>N78*28</f>
        <v>2467.08</v>
      </c>
      <c r="AB78" s="51"/>
      <c r="AC78" s="52"/>
      <c r="AD78" s="52"/>
      <c r="AE78" s="51"/>
      <c r="AF78" s="51">
        <f>(95-88.11)*2800</f>
        <v>19292</v>
      </c>
      <c r="AG78" s="51"/>
      <c r="AH78" s="51">
        <f t="shared" si="28"/>
        <v>570</v>
      </c>
      <c r="AI78" s="52"/>
      <c r="AJ78" s="53">
        <f>Y78+AA78+AE78+AF78+AG78+AH78</f>
        <v>24713.08</v>
      </c>
      <c r="AK78" s="59">
        <f t="shared" si="24"/>
        <v>370.7</v>
      </c>
      <c r="AL78" s="59">
        <f t="shared" si="25"/>
        <v>5508.2</v>
      </c>
      <c r="AM78" s="60">
        <v>1200</v>
      </c>
      <c r="AN78" s="59">
        <f t="shared" si="27"/>
        <v>31791.98</v>
      </c>
      <c r="AO78" s="64">
        <f t="shared" si="26"/>
        <v>12819.38</v>
      </c>
      <c r="AP78" s="51"/>
      <c r="AQ78" s="52"/>
    </row>
    <row r="79" s="2" customFormat="true" ht="40.5" spans="1:43">
      <c r="A79" s="67" t="s">
        <v>452</v>
      </c>
      <c r="B79" s="18">
        <v>76</v>
      </c>
      <c r="C79" s="68" t="s">
        <v>453</v>
      </c>
      <c r="D79" s="69" t="s">
        <v>454</v>
      </c>
      <c r="E79" s="69" t="s">
        <v>131</v>
      </c>
      <c r="F79" s="68" t="s">
        <v>50</v>
      </c>
      <c r="G79" s="71"/>
      <c r="H79" s="68" t="s">
        <v>453</v>
      </c>
      <c r="I79" s="72" t="s">
        <v>51</v>
      </c>
      <c r="J79" s="73" t="s">
        <v>455</v>
      </c>
      <c r="K79" s="73">
        <v>85.7</v>
      </c>
      <c r="L79" s="74">
        <v>7.86</v>
      </c>
      <c r="M79" s="74"/>
      <c r="N79" s="42">
        <v>93.62</v>
      </c>
      <c r="O79" s="42">
        <f t="shared" si="29"/>
        <v>7.92</v>
      </c>
      <c r="P79" s="35">
        <v>27424</v>
      </c>
      <c r="Q79" s="35">
        <v>1886.4</v>
      </c>
      <c r="R79" s="42">
        <f t="shared" si="30"/>
        <v>320</v>
      </c>
      <c r="S79" s="42" t="s">
        <v>59</v>
      </c>
      <c r="T79" s="76" t="s">
        <v>456</v>
      </c>
      <c r="U79" s="77"/>
      <c r="V79" s="71">
        <v>85.68</v>
      </c>
      <c r="W79" s="71"/>
      <c r="X79" s="71">
        <v>85.68</v>
      </c>
      <c r="Y79" s="50">
        <f t="shared" si="23"/>
        <v>2534.4</v>
      </c>
      <c r="Z79" s="27"/>
      <c r="AA79" s="27">
        <f>V79*28</f>
        <v>2399.04</v>
      </c>
      <c r="AB79" s="27"/>
      <c r="AC79" s="27"/>
      <c r="AD79" s="27"/>
      <c r="AE79" s="27"/>
      <c r="AF79" s="27"/>
      <c r="AG79" s="27"/>
      <c r="AH79" s="27"/>
      <c r="AI79" s="27"/>
      <c r="AJ79" s="53">
        <f>Y79+AA79+AF79+AG79+AH79+AE79</f>
        <v>4933.44</v>
      </c>
      <c r="AK79" s="59">
        <f t="shared" ref="AK79:AK94" si="31">AJ79*0.01</f>
        <v>49.33</v>
      </c>
      <c r="AL79" s="59">
        <f t="shared" si="25"/>
        <v>4948.02</v>
      </c>
      <c r="AM79" s="60">
        <v>1200</v>
      </c>
      <c r="AN79" s="59">
        <f t="shared" si="27"/>
        <v>11130.79</v>
      </c>
      <c r="AO79" s="64">
        <f t="shared" si="26"/>
        <v>15266.71</v>
      </c>
      <c r="AP79" s="27">
        <f>(93.62-85.68)*1500</f>
        <v>11910</v>
      </c>
      <c r="AQ79" s="51" t="s">
        <v>457</v>
      </c>
    </row>
    <row r="80" s="2" customFormat="true" ht="27" spans="1:43">
      <c r="A80" s="23" t="s">
        <v>458</v>
      </c>
      <c r="B80" s="18">
        <v>77</v>
      </c>
      <c r="C80" s="19" t="s">
        <v>459</v>
      </c>
      <c r="D80" s="20" t="s">
        <v>460</v>
      </c>
      <c r="E80" s="20" t="s">
        <v>49</v>
      </c>
      <c r="F80" s="19" t="s">
        <v>109</v>
      </c>
      <c r="G80" s="29" t="s">
        <v>461</v>
      </c>
      <c r="H80" s="19" t="s">
        <v>459</v>
      </c>
      <c r="I80" s="34" t="s">
        <v>51</v>
      </c>
      <c r="J80" s="20" t="s">
        <v>462</v>
      </c>
      <c r="K80" s="35">
        <v>67.36</v>
      </c>
      <c r="L80" s="35">
        <v>6.77</v>
      </c>
      <c r="M80" s="35"/>
      <c r="N80" s="42">
        <v>73.58</v>
      </c>
      <c r="O80" s="42">
        <f t="shared" si="29"/>
        <v>6.22</v>
      </c>
      <c r="P80" s="35">
        <v>21555.2</v>
      </c>
      <c r="Q80" s="35">
        <v>1624.8</v>
      </c>
      <c r="R80" s="42">
        <f t="shared" si="30"/>
        <v>320</v>
      </c>
      <c r="S80" s="42" t="s">
        <v>59</v>
      </c>
      <c r="T80" s="47" t="s">
        <v>463</v>
      </c>
      <c r="U80" s="19"/>
      <c r="V80" s="27">
        <v>85.68</v>
      </c>
      <c r="W80" s="50"/>
      <c r="X80" s="27">
        <v>85.68</v>
      </c>
      <c r="Y80" s="50">
        <f t="shared" si="23"/>
        <v>1990.4</v>
      </c>
      <c r="Z80" s="51"/>
      <c r="AA80" s="51">
        <f t="shared" ref="AA80:AA85" si="32">N80*28</f>
        <v>2060.24</v>
      </c>
      <c r="AB80" s="51"/>
      <c r="AC80" s="51"/>
      <c r="AD80" s="51"/>
      <c r="AE80" s="51">
        <f>(75-73.58)*1500</f>
        <v>2130</v>
      </c>
      <c r="AF80" s="51"/>
      <c r="AG80" s="51"/>
      <c r="AH80" s="51">
        <f>0.68*1500</f>
        <v>1020</v>
      </c>
      <c r="AI80" s="51">
        <v>15000</v>
      </c>
      <c r="AJ80" s="53">
        <f>Y80+AA80+AE80+AF80+AG80+AH80+AI80</f>
        <v>22200.64</v>
      </c>
      <c r="AK80" s="59">
        <f t="shared" si="31"/>
        <v>222.01</v>
      </c>
      <c r="AL80" s="59">
        <f t="shared" si="25"/>
        <v>4948.02</v>
      </c>
      <c r="AM80" s="60">
        <v>1200</v>
      </c>
      <c r="AN80" s="59">
        <f t="shared" si="27"/>
        <v>28570.67</v>
      </c>
      <c r="AO80" s="64">
        <f t="shared" si="26"/>
        <v>13149.57</v>
      </c>
      <c r="AP80" s="51"/>
      <c r="AQ80" s="51"/>
    </row>
    <row r="81" s="2" customFormat="true" ht="27" spans="1:43">
      <c r="A81" s="23" t="s">
        <v>464</v>
      </c>
      <c r="B81" s="18">
        <v>78</v>
      </c>
      <c r="C81" s="19" t="s">
        <v>465</v>
      </c>
      <c r="D81" s="20" t="s">
        <v>466</v>
      </c>
      <c r="E81" s="20" t="s">
        <v>49</v>
      </c>
      <c r="F81" s="19" t="s">
        <v>50</v>
      </c>
      <c r="G81" s="20"/>
      <c r="H81" s="19" t="s">
        <v>465</v>
      </c>
      <c r="I81" s="34" t="s">
        <v>51</v>
      </c>
      <c r="J81" s="20" t="s">
        <v>467</v>
      </c>
      <c r="K81" s="35">
        <v>62.35</v>
      </c>
      <c r="L81" s="35">
        <v>6.87</v>
      </c>
      <c r="M81" s="35"/>
      <c r="N81" s="42">
        <v>68.11</v>
      </c>
      <c r="O81" s="42">
        <f t="shared" si="29"/>
        <v>5.76</v>
      </c>
      <c r="P81" s="35">
        <v>19952</v>
      </c>
      <c r="Q81" s="35">
        <v>1648.8</v>
      </c>
      <c r="R81" s="42">
        <f t="shared" si="30"/>
        <v>320</v>
      </c>
      <c r="S81" s="42" t="s">
        <v>59</v>
      </c>
      <c r="T81" s="47" t="s">
        <v>468</v>
      </c>
      <c r="U81" s="19"/>
      <c r="V81" s="27">
        <v>85.68</v>
      </c>
      <c r="W81" s="50"/>
      <c r="X81" s="27">
        <v>85.68</v>
      </c>
      <c r="Y81" s="50">
        <f t="shared" si="23"/>
        <v>1843.2</v>
      </c>
      <c r="Z81" s="51"/>
      <c r="AA81" s="51">
        <f t="shared" si="32"/>
        <v>1907.08</v>
      </c>
      <c r="AB81" s="51"/>
      <c r="AC81" s="52"/>
      <c r="AD81" s="52"/>
      <c r="AE81" s="52">
        <f>(75-68.11)*1500</f>
        <v>10335</v>
      </c>
      <c r="AF81" s="51"/>
      <c r="AG81" s="52">
        <v>34000</v>
      </c>
      <c r="AH81" s="51">
        <f>0.68*1500</f>
        <v>1020</v>
      </c>
      <c r="AI81" s="52"/>
      <c r="AJ81" s="53">
        <f>Y81+AA81+AE81+AF81+AG81+AH81</f>
        <v>49105.28</v>
      </c>
      <c r="AK81" s="59">
        <f t="shared" si="31"/>
        <v>491.05</v>
      </c>
      <c r="AL81" s="59">
        <f t="shared" si="25"/>
        <v>4948.02</v>
      </c>
      <c r="AM81" s="60">
        <v>1200</v>
      </c>
      <c r="AN81" s="59">
        <f t="shared" si="27"/>
        <v>55744.35</v>
      </c>
      <c r="AO81" s="64">
        <f t="shared" si="26"/>
        <v>13343.81</v>
      </c>
      <c r="AP81" s="65"/>
      <c r="AQ81" s="52"/>
    </row>
    <row r="82" s="2" customFormat="true" ht="40.5" spans="1:43">
      <c r="A82" s="23" t="s">
        <v>469</v>
      </c>
      <c r="B82" s="18">
        <v>79</v>
      </c>
      <c r="C82" s="19" t="s">
        <v>470</v>
      </c>
      <c r="D82" s="20" t="s">
        <v>471</v>
      </c>
      <c r="E82" s="20" t="s">
        <v>131</v>
      </c>
      <c r="F82" s="19" t="s">
        <v>50</v>
      </c>
      <c r="G82" s="30"/>
      <c r="H82" s="19" t="s">
        <v>470</v>
      </c>
      <c r="I82" s="34" t="s">
        <v>51</v>
      </c>
      <c r="J82" s="20" t="s">
        <v>472</v>
      </c>
      <c r="K82" s="35">
        <v>64.7</v>
      </c>
      <c r="L82" s="35">
        <v>7.98</v>
      </c>
      <c r="M82" s="35"/>
      <c r="N82" s="42">
        <v>70.68</v>
      </c>
      <c r="O82" s="42">
        <f t="shared" si="29"/>
        <v>5.98</v>
      </c>
      <c r="P82" s="35">
        <v>18116</v>
      </c>
      <c r="Q82" s="35">
        <v>1915.2</v>
      </c>
      <c r="R82" s="42">
        <f t="shared" si="30"/>
        <v>280</v>
      </c>
      <c r="S82" s="42" t="s">
        <v>59</v>
      </c>
      <c r="T82" s="47" t="s">
        <v>473</v>
      </c>
      <c r="U82" s="19"/>
      <c r="V82" s="27">
        <v>85.68</v>
      </c>
      <c r="W82" s="50"/>
      <c r="X82" s="27">
        <v>85.68</v>
      </c>
      <c r="Y82" s="50">
        <f t="shared" si="23"/>
        <v>1674.4</v>
      </c>
      <c r="Z82" s="51"/>
      <c r="AA82" s="51">
        <f t="shared" si="32"/>
        <v>1979.04</v>
      </c>
      <c r="AB82" s="51"/>
      <c r="AC82" s="51"/>
      <c r="AD82" s="51"/>
      <c r="AE82" s="51">
        <f>(75-70.68)*1500</f>
        <v>6479.99999999999</v>
      </c>
      <c r="AF82" s="51"/>
      <c r="AG82" s="51">
        <v>34000</v>
      </c>
      <c r="AH82" s="51">
        <f>0.68*1500</f>
        <v>1020</v>
      </c>
      <c r="AI82" s="51"/>
      <c r="AJ82" s="53">
        <f>Y82+AA82+AE82+AF82+AG82+AH82</f>
        <v>45153.44</v>
      </c>
      <c r="AK82" s="59">
        <f t="shared" si="31"/>
        <v>451.53</v>
      </c>
      <c r="AL82" s="59">
        <f t="shared" si="25"/>
        <v>4948.02</v>
      </c>
      <c r="AM82" s="60">
        <v>1200</v>
      </c>
      <c r="AN82" s="59">
        <f t="shared" si="27"/>
        <v>51752.99</v>
      </c>
      <c r="AO82" s="64">
        <f t="shared" si="26"/>
        <v>15499.79</v>
      </c>
      <c r="AP82" s="51"/>
      <c r="AQ82" s="51"/>
    </row>
    <row r="83" s="2" customFormat="true" ht="27" spans="1:43">
      <c r="A83" s="24" t="s">
        <v>474</v>
      </c>
      <c r="B83" s="18">
        <v>80</v>
      </c>
      <c r="C83" s="19" t="s">
        <v>475</v>
      </c>
      <c r="D83" s="20" t="s">
        <v>476</v>
      </c>
      <c r="E83" s="20" t="s">
        <v>49</v>
      </c>
      <c r="F83" s="19" t="s">
        <v>50</v>
      </c>
      <c r="G83" s="20"/>
      <c r="H83" s="19" t="s">
        <v>475</v>
      </c>
      <c r="I83" s="34" t="s">
        <v>51</v>
      </c>
      <c r="J83" s="20" t="s">
        <v>477</v>
      </c>
      <c r="K83" s="35">
        <v>69.86</v>
      </c>
      <c r="L83" s="35">
        <v>6.16</v>
      </c>
      <c r="M83" s="35"/>
      <c r="N83" s="42">
        <v>76.32</v>
      </c>
      <c r="O83" s="42">
        <f t="shared" si="29"/>
        <v>6.46</v>
      </c>
      <c r="P83" s="35">
        <v>23053.8</v>
      </c>
      <c r="Q83" s="35">
        <v>1478.4</v>
      </c>
      <c r="R83" s="42">
        <f t="shared" si="30"/>
        <v>330</v>
      </c>
      <c r="S83" s="42" t="s">
        <v>59</v>
      </c>
      <c r="T83" s="47" t="s">
        <v>478</v>
      </c>
      <c r="U83" s="19"/>
      <c r="V83" s="26">
        <v>85.61</v>
      </c>
      <c r="W83" s="50"/>
      <c r="X83" s="26">
        <v>85.61</v>
      </c>
      <c r="Y83" s="50">
        <f t="shared" si="23"/>
        <v>2131.8</v>
      </c>
      <c r="Z83" s="51"/>
      <c r="AA83" s="51">
        <f t="shared" si="32"/>
        <v>2136.96</v>
      </c>
      <c r="AB83" s="51"/>
      <c r="AC83" s="52"/>
      <c r="AD83" s="52"/>
      <c r="AE83" s="51"/>
      <c r="AF83" s="51">
        <f>(85-76.32)*2800</f>
        <v>24304</v>
      </c>
      <c r="AG83" s="52"/>
      <c r="AH83" s="51">
        <f>0.61*1500</f>
        <v>915</v>
      </c>
      <c r="AI83" s="52"/>
      <c r="AJ83" s="53">
        <f>Y83+AA83+AE83+AF83+AG83+AH83</f>
        <v>29487.76</v>
      </c>
      <c r="AK83" s="59">
        <f t="shared" si="31"/>
        <v>294.88</v>
      </c>
      <c r="AL83" s="59">
        <f t="shared" si="25"/>
        <v>4943.98</v>
      </c>
      <c r="AM83" s="60">
        <v>1200</v>
      </c>
      <c r="AN83" s="59">
        <f t="shared" si="27"/>
        <v>35926.62</v>
      </c>
      <c r="AO83" s="64">
        <f t="shared" si="26"/>
        <v>11964.75</v>
      </c>
      <c r="AP83" s="65"/>
      <c r="AQ83" s="52"/>
    </row>
    <row r="84" s="2" customFormat="true" ht="40.5" spans="1:43">
      <c r="A84" s="23" t="s">
        <v>479</v>
      </c>
      <c r="B84" s="18">
        <v>81</v>
      </c>
      <c r="C84" s="19" t="s">
        <v>480</v>
      </c>
      <c r="D84" s="20" t="s">
        <v>481</v>
      </c>
      <c r="E84" s="20" t="s">
        <v>49</v>
      </c>
      <c r="F84" s="19" t="s">
        <v>50</v>
      </c>
      <c r="G84" s="29"/>
      <c r="H84" s="19" t="s">
        <v>482</v>
      </c>
      <c r="I84" s="34" t="s">
        <v>51</v>
      </c>
      <c r="J84" s="20" t="s">
        <v>483</v>
      </c>
      <c r="K84" s="35">
        <v>81.34</v>
      </c>
      <c r="L84" s="35">
        <v>6.77</v>
      </c>
      <c r="M84" s="35"/>
      <c r="N84" s="42">
        <v>88.86</v>
      </c>
      <c r="O84" s="42">
        <f t="shared" si="29"/>
        <v>7.52</v>
      </c>
      <c r="P84" s="35">
        <v>26028.8</v>
      </c>
      <c r="Q84" s="35">
        <v>1624.8</v>
      </c>
      <c r="R84" s="42">
        <f t="shared" si="30"/>
        <v>320</v>
      </c>
      <c r="S84" s="42" t="s">
        <v>59</v>
      </c>
      <c r="T84" s="47" t="s">
        <v>484</v>
      </c>
      <c r="U84" s="19"/>
      <c r="V84" s="26">
        <v>85.61</v>
      </c>
      <c r="W84" s="50"/>
      <c r="X84" s="26">
        <v>85.61</v>
      </c>
      <c r="Y84" s="50">
        <f t="shared" si="23"/>
        <v>2406.4</v>
      </c>
      <c r="Z84" s="51"/>
      <c r="AA84" s="51">
        <f t="shared" si="32"/>
        <v>2488.08</v>
      </c>
      <c r="AB84" s="51"/>
      <c r="AC84" s="51"/>
      <c r="AD84" s="51"/>
      <c r="AE84" s="51"/>
      <c r="AF84" s="51"/>
      <c r="AG84" s="51"/>
      <c r="AH84" s="51"/>
      <c r="AI84" s="51"/>
      <c r="AJ84" s="53">
        <f>Y84+AA84+AF84+AG84+AH84+AE84</f>
        <v>4894.48</v>
      </c>
      <c r="AK84" s="59">
        <f t="shared" si="31"/>
        <v>48.94</v>
      </c>
      <c r="AL84" s="59">
        <f t="shared" si="25"/>
        <v>4943.98</v>
      </c>
      <c r="AM84" s="60">
        <v>1200</v>
      </c>
      <c r="AN84" s="59">
        <f t="shared" si="27"/>
        <v>11087.4</v>
      </c>
      <c r="AO84" s="64">
        <f t="shared" si="26"/>
        <v>13149.57</v>
      </c>
      <c r="AP84" s="51">
        <f>(88.86-85.61)*1500</f>
        <v>4875</v>
      </c>
      <c r="AQ84" s="51"/>
    </row>
    <row r="85" s="2" customFormat="true" ht="40.5" spans="1:43">
      <c r="A85" s="23" t="s">
        <v>485</v>
      </c>
      <c r="B85" s="18">
        <v>82</v>
      </c>
      <c r="C85" s="19" t="s">
        <v>486</v>
      </c>
      <c r="D85" s="20" t="s">
        <v>487</v>
      </c>
      <c r="E85" s="20" t="s">
        <v>131</v>
      </c>
      <c r="F85" s="19" t="s">
        <v>50</v>
      </c>
      <c r="G85" s="26"/>
      <c r="H85" s="19" t="s">
        <v>488</v>
      </c>
      <c r="I85" s="34" t="s">
        <v>51</v>
      </c>
      <c r="J85" s="20" t="s">
        <v>489</v>
      </c>
      <c r="K85" s="35">
        <v>68.68</v>
      </c>
      <c r="L85" s="35">
        <v>6.87</v>
      </c>
      <c r="M85" s="35"/>
      <c r="N85" s="42">
        <v>75.03</v>
      </c>
      <c r="O85" s="42">
        <f t="shared" si="29"/>
        <v>6.35</v>
      </c>
      <c r="P85" s="35">
        <v>21977.6</v>
      </c>
      <c r="Q85" s="35">
        <v>1648.8</v>
      </c>
      <c r="R85" s="42">
        <f t="shared" si="30"/>
        <v>320</v>
      </c>
      <c r="S85" s="42" t="s">
        <v>59</v>
      </c>
      <c r="T85" s="47" t="s">
        <v>490</v>
      </c>
      <c r="U85" s="19"/>
      <c r="V85" s="26">
        <v>85.61</v>
      </c>
      <c r="W85" s="50"/>
      <c r="X85" s="26">
        <v>85.61</v>
      </c>
      <c r="Y85" s="50">
        <f t="shared" si="23"/>
        <v>2032</v>
      </c>
      <c r="Z85" s="51"/>
      <c r="AA85" s="51">
        <f t="shared" si="32"/>
        <v>2100.84</v>
      </c>
      <c r="AB85" s="51"/>
      <c r="AC85" s="51"/>
      <c r="AD85" s="51"/>
      <c r="AE85" s="51"/>
      <c r="AF85" s="51">
        <f>(85-75.03)*2800</f>
        <v>27916</v>
      </c>
      <c r="AG85" s="51"/>
      <c r="AH85" s="51">
        <f>0.61*1500</f>
        <v>915</v>
      </c>
      <c r="AI85" s="51"/>
      <c r="AJ85" s="53">
        <f>Y85+AA85+AE85+AF85+AG85+AH85</f>
        <v>32963.84</v>
      </c>
      <c r="AK85" s="59">
        <f t="shared" si="31"/>
        <v>329.64</v>
      </c>
      <c r="AL85" s="59">
        <f t="shared" si="25"/>
        <v>4943.98</v>
      </c>
      <c r="AM85" s="60">
        <v>1200</v>
      </c>
      <c r="AN85" s="59">
        <f t="shared" si="27"/>
        <v>39437.46</v>
      </c>
      <c r="AO85" s="64">
        <f t="shared" si="26"/>
        <v>13343.81</v>
      </c>
      <c r="AP85" s="51"/>
      <c r="AQ85" s="51"/>
    </row>
    <row r="86" s="2" customFormat="true" ht="40.5" spans="1:43">
      <c r="A86" s="23" t="s">
        <v>491</v>
      </c>
      <c r="B86" s="18">
        <v>83</v>
      </c>
      <c r="C86" s="19" t="s">
        <v>492</v>
      </c>
      <c r="D86" s="20" t="s">
        <v>493</v>
      </c>
      <c r="E86" s="20" t="s">
        <v>76</v>
      </c>
      <c r="F86" s="19" t="s">
        <v>50</v>
      </c>
      <c r="G86" s="31"/>
      <c r="H86" s="19" t="s">
        <v>494</v>
      </c>
      <c r="I86" s="34" t="s">
        <v>51</v>
      </c>
      <c r="J86" s="20" t="s">
        <v>495</v>
      </c>
      <c r="K86" s="35">
        <v>59.5</v>
      </c>
      <c r="L86" s="35">
        <v>7.98</v>
      </c>
      <c r="M86" s="35"/>
      <c r="N86" s="42">
        <v>65</v>
      </c>
      <c r="O86" s="51"/>
      <c r="P86" s="35"/>
      <c r="Q86" s="35"/>
      <c r="R86" s="42"/>
      <c r="S86" s="42" t="s">
        <v>59</v>
      </c>
      <c r="T86" s="47" t="s">
        <v>496</v>
      </c>
      <c r="U86" s="19"/>
      <c r="V86" s="26">
        <v>86.21</v>
      </c>
      <c r="W86" s="50"/>
      <c r="X86" s="26">
        <v>86.21</v>
      </c>
      <c r="Y86" s="50"/>
      <c r="Z86" s="51"/>
      <c r="AA86" s="51"/>
      <c r="AB86" s="51"/>
      <c r="AC86" s="51"/>
      <c r="AD86" s="51"/>
      <c r="AE86" s="51"/>
      <c r="AF86" s="51">
        <v>28000</v>
      </c>
      <c r="AG86" s="51">
        <v>34000</v>
      </c>
      <c r="AH86" s="51">
        <f>1.21*1500</f>
        <v>1815</v>
      </c>
      <c r="AI86" s="51"/>
      <c r="AJ86" s="53">
        <f>Y86+AA86+AF86+AG86+AH86+AE86</f>
        <v>63815</v>
      </c>
      <c r="AK86" s="59">
        <f t="shared" si="31"/>
        <v>638.15</v>
      </c>
      <c r="AL86" s="59">
        <f t="shared" si="25"/>
        <v>4978.63</v>
      </c>
      <c r="AM86" s="60">
        <v>1200</v>
      </c>
      <c r="AN86" s="59">
        <f t="shared" si="27"/>
        <v>70631.78</v>
      </c>
      <c r="AO86" s="64">
        <f t="shared" si="26"/>
        <v>15499.79</v>
      </c>
      <c r="AP86" s="51"/>
      <c r="AQ86" s="51" t="s">
        <v>79</v>
      </c>
    </row>
    <row r="87" s="2" customFormat="true" ht="27" spans="1:43">
      <c r="A87" s="23" t="s">
        <v>497</v>
      </c>
      <c r="B87" s="18">
        <v>84</v>
      </c>
      <c r="C87" s="19" t="s">
        <v>498</v>
      </c>
      <c r="D87" s="20" t="s">
        <v>499</v>
      </c>
      <c r="E87" s="20" t="s">
        <v>49</v>
      </c>
      <c r="F87" s="70" t="s">
        <v>416</v>
      </c>
      <c r="G87" s="29" t="s">
        <v>500</v>
      </c>
      <c r="H87" s="19" t="s">
        <v>498</v>
      </c>
      <c r="I87" s="34" t="s">
        <v>51</v>
      </c>
      <c r="J87" s="20" t="s">
        <v>501</v>
      </c>
      <c r="K87" s="35">
        <v>67.36</v>
      </c>
      <c r="L87" s="35">
        <v>6.77</v>
      </c>
      <c r="M87" s="35"/>
      <c r="N87" s="42">
        <v>73.58</v>
      </c>
      <c r="O87" s="42">
        <f t="shared" ref="O87:O92" si="33">N87-K87</f>
        <v>6.22</v>
      </c>
      <c r="P87" s="35">
        <v>21555.2</v>
      </c>
      <c r="Q87" s="35">
        <v>1624.8</v>
      </c>
      <c r="R87" s="42">
        <f t="shared" ref="R87:R109" si="34">P87/K87</f>
        <v>320</v>
      </c>
      <c r="S87" s="42" t="s">
        <v>59</v>
      </c>
      <c r="T87" s="47" t="s">
        <v>502</v>
      </c>
      <c r="U87" s="19"/>
      <c r="V87" s="26">
        <v>86.21</v>
      </c>
      <c r="W87" s="50"/>
      <c r="X87" s="26">
        <v>86.21</v>
      </c>
      <c r="Y87" s="50">
        <f t="shared" ref="Y87:Y92" si="35">O87*R87</f>
        <v>1990.4</v>
      </c>
      <c r="Z87" s="51"/>
      <c r="AA87" s="51">
        <f>N87*28</f>
        <v>2060.24</v>
      </c>
      <c r="AB87" s="51"/>
      <c r="AC87" s="51"/>
      <c r="AD87" s="51"/>
      <c r="AE87" s="51"/>
      <c r="AF87" s="51"/>
      <c r="AG87" s="51"/>
      <c r="AH87" s="51">
        <f>1.21*1500</f>
        <v>1815</v>
      </c>
      <c r="AI87" s="51">
        <f>(85-73.58)*1500</f>
        <v>17130</v>
      </c>
      <c r="AJ87" s="53">
        <f>Y87+AA87+AE87+AF87+AG87+AH87+AI87</f>
        <v>22995.64</v>
      </c>
      <c r="AK87" s="59">
        <f t="shared" si="31"/>
        <v>229.96</v>
      </c>
      <c r="AL87" s="59">
        <f t="shared" si="25"/>
        <v>4978.63</v>
      </c>
      <c r="AM87" s="60">
        <v>1200</v>
      </c>
      <c r="AN87" s="59">
        <f t="shared" si="27"/>
        <v>29404.23</v>
      </c>
      <c r="AO87" s="64">
        <f t="shared" si="26"/>
        <v>13149.57</v>
      </c>
      <c r="AP87" s="51"/>
      <c r="AQ87" s="51"/>
    </row>
    <row r="88" s="2" customFormat="true" ht="40.5" spans="1:43">
      <c r="A88" s="23" t="s">
        <v>503</v>
      </c>
      <c r="B88" s="18">
        <v>85</v>
      </c>
      <c r="C88" s="19" t="s">
        <v>504</v>
      </c>
      <c r="D88" s="20" t="s">
        <v>505</v>
      </c>
      <c r="E88" s="20" t="s">
        <v>49</v>
      </c>
      <c r="F88" s="19" t="s">
        <v>50</v>
      </c>
      <c r="G88" s="30"/>
      <c r="H88" s="19" t="s">
        <v>504</v>
      </c>
      <c r="I88" s="34" t="s">
        <v>51</v>
      </c>
      <c r="J88" s="20" t="s">
        <v>506</v>
      </c>
      <c r="K88" s="35">
        <v>69.86</v>
      </c>
      <c r="L88" s="35">
        <v>6.16</v>
      </c>
      <c r="M88" s="35"/>
      <c r="N88" s="42">
        <v>76.32</v>
      </c>
      <c r="O88" s="42">
        <f t="shared" si="33"/>
        <v>6.46</v>
      </c>
      <c r="P88" s="35">
        <v>23053.8</v>
      </c>
      <c r="Q88" s="35">
        <v>1478.4</v>
      </c>
      <c r="R88" s="42">
        <f t="shared" si="34"/>
        <v>330</v>
      </c>
      <c r="S88" s="42" t="s">
        <v>59</v>
      </c>
      <c r="T88" s="47" t="s">
        <v>507</v>
      </c>
      <c r="U88" s="19"/>
      <c r="V88" s="26">
        <v>86.21</v>
      </c>
      <c r="W88" s="50"/>
      <c r="X88" s="26">
        <v>86.21</v>
      </c>
      <c r="Y88" s="50">
        <f t="shared" si="35"/>
        <v>2131.8</v>
      </c>
      <c r="Z88" s="51"/>
      <c r="AA88" s="51">
        <f>N88*28</f>
        <v>2136.96</v>
      </c>
      <c r="AB88" s="51"/>
      <c r="AC88" s="51"/>
      <c r="AD88" s="51"/>
      <c r="AE88" s="51"/>
      <c r="AF88" s="51">
        <f>(85-76.32)*2800</f>
        <v>24304</v>
      </c>
      <c r="AG88" s="51"/>
      <c r="AH88" s="51">
        <f>1.21*1500</f>
        <v>1815</v>
      </c>
      <c r="AI88" s="51"/>
      <c r="AJ88" s="53">
        <f>Y88+AA88+AE88+AF88+AG88+AH88</f>
        <v>30387.76</v>
      </c>
      <c r="AK88" s="59">
        <f t="shared" si="31"/>
        <v>303.88</v>
      </c>
      <c r="AL88" s="59">
        <f t="shared" si="25"/>
        <v>4978.63</v>
      </c>
      <c r="AM88" s="60">
        <v>1200</v>
      </c>
      <c r="AN88" s="59">
        <f t="shared" si="27"/>
        <v>36870.27</v>
      </c>
      <c r="AO88" s="64">
        <f t="shared" si="26"/>
        <v>11964.75</v>
      </c>
      <c r="AP88" s="51"/>
      <c r="AQ88" s="51"/>
    </row>
    <row r="89" s="2" customFormat="true" ht="27" spans="1:43">
      <c r="A89" s="17" t="s">
        <v>508</v>
      </c>
      <c r="B89" s="18">
        <v>86</v>
      </c>
      <c r="C89" s="19" t="s">
        <v>509</v>
      </c>
      <c r="D89" s="20" t="s">
        <v>510</v>
      </c>
      <c r="E89" s="20" t="s">
        <v>49</v>
      </c>
      <c r="F89" s="19" t="s">
        <v>50</v>
      </c>
      <c r="G89" s="27"/>
      <c r="H89" s="19" t="s">
        <v>509</v>
      </c>
      <c r="I89" s="34" t="s">
        <v>51</v>
      </c>
      <c r="J89" s="20" t="s">
        <v>511</v>
      </c>
      <c r="K89" s="35">
        <v>85.7</v>
      </c>
      <c r="L89" s="30">
        <v>7.86</v>
      </c>
      <c r="M89" s="30"/>
      <c r="N89" s="42">
        <v>93.62</v>
      </c>
      <c r="O89" s="42">
        <f t="shared" si="33"/>
        <v>7.92</v>
      </c>
      <c r="P89" s="35">
        <v>27424</v>
      </c>
      <c r="Q89" s="35">
        <v>1886.4</v>
      </c>
      <c r="R89" s="42">
        <f t="shared" si="34"/>
        <v>320</v>
      </c>
      <c r="S89" s="42" t="s">
        <v>59</v>
      </c>
      <c r="T89" s="47" t="s">
        <v>512</v>
      </c>
      <c r="U89" s="49"/>
      <c r="V89" s="27">
        <v>76.48</v>
      </c>
      <c r="W89" s="27"/>
      <c r="X89" s="27">
        <v>76.48</v>
      </c>
      <c r="Y89" s="50">
        <f t="shared" si="35"/>
        <v>2534.4</v>
      </c>
      <c r="Z89" s="27"/>
      <c r="AA89" s="27">
        <f>V89*28</f>
        <v>2141.44</v>
      </c>
      <c r="AB89" s="27"/>
      <c r="AC89" s="27"/>
      <c r="AD89" s="27"/>
      <c r="AE89" s="27"/>
      <c r="AF89" s="27"/>
      <c r="AG89" s="27"/>
      <c r="AH89" s="27"/>
      <c r="AI89" s="27"/>
      <c r="AJ89" s="53">
        <f>Y89+AA89+AF89+AG89+AH89+AE89</f>
        <v>4675.84</v>
      </c>
      <c r="AK89" s="59">
        <f t="shared" si="31"/>
        <v>46.76</v>
      </c>
      <c r="AL89" s="59">
        <f t="shared" si="25"/>
        <v>4416.72</v>
      </c>
      <c r="AM89" s="60">
        <v>1200</v>
      </c>
      <c r="AN89" s="59">
        <f t="shared" si="27"/>
        <v>10339.32</v>
      </c>
      <c r="AO89" s="64">
        <f t="shared" si="26"/>
        <v>15266.71</v>
      </c>
      <c r="AP89" s="27">
        <f>(93.62-76.48)*1500</f>
        <v>25710</v>
      </c>
      <c r="AQ89" s="49"/>
    </row>
    <row r="90" s="2" customFormat="true" ht="27" spans="1:43">
      <c r="A90" s="17" t="s">
        <v>513</v>
      </c>
      <c r="B90" s="18">
        <v>87</v>
      </c>
      <c r="C90" s="26" t="s">
        <v>514</v>
      </c>
      <c r="D90" s="20" t="s">
        <v>515</v>
      </c>
      <c r="E90" s="20" t="s">
        <v>76</v>
      </c>
      <c r="F90" s="19" t="s">
        <v>50</v>
      </c>
      <c r="G90" s="27"/>
      <c r="H90" s="26" t="s">
        <v>514</v>
      </c>
      <c r="I90" s="34" t="s">
        <v>51</v>
      </c>
      <c r="J90" s="20" t="s">
        <v>516</v>
      </c>
      <c r="K90" s="35">
        <v>68.68</v>
      </c>
      <c r="L90" s="35">
        <v>6.87</v>
      </c>
      <c r="M90" s="35"/>
      <c r="N90" s="42">
        <v>75.03</v>
      </c>
      <c r="O90" s="42">
        <f t="shared" si="33"/>
        <v>6.35</v>
      </c>
      <c r="P90" s="35">
        <v>21977.6</v>
      </c>
      <c r="Q90" s="35">
        <v>1648.8</v>
      </c>
      <c r="R90" s="42">
        <f t="shared" si="34"/>
        <v>320</v>
      </c>
      <c r="S90" s="42" t="s">
        <v>59</v>
      </c>
      <c r="T90" s="47" t="s">
        <v>517</v>
      </c>
      <c r="U90" s="49"/>
      <c r="V90" s="27">
        <v>76.48</v>
      </c>
      <c r="W90" s="27"/>
      <c r="X90" s="27">
        <v>76.48</v>
      </c>
      <c r="Y90" s="50">
        <f t="shared" si="35"/>
        <v>2032</v>
      </c>
      <c r="Z90" s="27"/>
      <c r="AA90" s="51">
        <f t="shared" ref="AA90:AA109" si="36">N90*28</f>
        <v>2100.84</v>
      </c>
      <c r="AB90" s="27"/>
      <c r="AC90" s="27"/>
      <c r="AD90" s="27"/>
      <c r="AE90" s="27"/>
      <c r="AF90" s="27"/>
      <c r="AG90" s="27"/>
      <c r="AH90" s="51">
        <f>(X90-N90)*1500</f>
        <v>2175</v>
      </c>
      <c r="AI90" s="27"/>
      <c r="AJ90" s="53">
        <f>Y90+AA90+AE90+AF90+AG90+AH90</f>
        <v>6307.84</v>
      </c>
      <c r="AK90" s="59">
        <f t="shared" si="31"/>
        <v>63.08</v>
      </c>
      <c r="AL90" s="59">
        <f t="shared" si="25"/>
        <v>4416.72</v>
      </c>
      <c r="AM90" s="60">
        <v>1200</v>
      </c>
      <c r="AN90" s="59">
        <f t="shared" si="27"/>
        <v>11987.64</v>
      </c>
      <c r="AO90" s="64">
        <f t="shared" si="26"/>
        <v>13343.81</v>
      </c>
      <c r="AP90" s="27"/>
      <c r="AQ90" s="49"/>
    </row>
    <row r="91" s="2" customFormat="true" ht="40.5" spans="1:43">
      <c r="A91" s="17" t="s">
        <v>518</v>
      </c>
      <c r="B91" s="18">
        <v>88</v>
      </c>
      <c r="C91" s="19" t="s">
        <v>519</v>
      </c>
      <c r="D91" s="20" t="s">
        <v>520</v>
      </c>
      <c r="E91" s="20" t="s">
        <v>49</v>
      </c>
      <c r="F91" s="19" t="s">
        <v>50</v>
      </c>
      <c r="G91" s="27"/>
      <c r="H91" s="19" t="s">
        <v>519</v>
      </c>
      <c r="I91" s="34" t="s">
        <v>51</v>
      </c>
      <c r="J91" s="20" t="s">
        <v>521</v>
      </c>
      <c r="K91" s="35">
        <v>66.55</v>
      </c>
      <c r="L91" s="30">
        <v>6.6</v>
      </c>
      <c r="M91" s="30"/>
      <c r="N91" s="42">
        <v>72.7</v>
      </c>
      <c r="O91" s="42">
        <f t="shared" si="33"/>
        <v>6.15</v>
      </c>
      <c r="P91" s="35">
        <v>21296</v>
      </c>
      <c r="Q91" s="35">
        <v>1440</v>
      </c>
      <c r="R91" s="42">
        <f t="shared" si="34"/>
        <v>320</v>
      </c>
      <c r="S91" s="42" t="s">
        <v>59</v>
      </c>
      <c r="T91" s="47" t="s">
        <v>522</v>
      </c>
      <c r="U91" s="49"/>
      <c r="V91" s="27">
        <v>76.48</v>
      </c>
      <c r="W91" s="27"/>
      <c r="X91" s="27">
        <v>76.48</v>
      </c>
      <c r="Y91" s="50">
        <f t="shared" si="35"/>
        <v>1968</v>
      </c>
      <c r="Z91" s="27"/>
      <c r="AA91" s="51">
        <f t="shared" si="36"/>
        <v>2035.6</v>
      </c>
      <c r="AB91" s="27"/>
      <c r="AC91" s="27"/>
      <c r="AD91" s="27"/>
      <c r="AE91" s="27">
        <f>(75-72.7)*1500</f>
        <v>3450</v>
      </c>
      <c r="AF91" s="27"/>
      <c r="AG91" s="27"/>
      <c r="AH91" s="27">
        <f>1.48*1500</f>
        <v>2220</v>
      </c>
      <c r="AI91" s="27"/>
      <c r="AJ91" s="53">
        <f>Y91+AA91+AE91+AF91+AG91+AH91</f>
        <v>9673.6</v>
      </c>
      <c r="AK91" s="59">
        <f t="shared" si="31"/>
        <v>96.74</v>
      </c>
      <c r="AL91" s="59">
        <f t="shared" si="25"/>
        <v>4416.72</v>
      </c>
      <c r="AM91" s="60">
        <v>1200</v>
      </c>
      <c r="AN91" s="59">
        <f t="shared" si="27"/>
        <v>15387.06</v>
      </c>
      <c r="AO91" s="64">
        <f t="shared" si="26"/>
        <v>12819.38</v>
      </c>
      <c r="AP91" s="27"/>
      <c r="AQ91" s="49"/>
    </row>
    <row r="92" s="2" customFormat="true" ht="27" spans="1:43">
      <c r="A92" s="17" t="s">
        <v>523</v>
      </c>
      <c r="B92" s="18">
        <v>89</v>
      </c>
      <c r="C92" s="19" t="s">
        <v>524</v>
      </c>
      <c r="D92" s="20" t="s">
        <v>525</v>
      </c>
      <c r="E92" s="20" t="s">
        <v>49</v>
      </c>
      <c r="F92" s="19" t="s">
        <v>50</v>
      </c>
      <c r="G92" s="27"/>
      <c r="H92" s="19" t="s">
        <v>524</v>
      </c>
      <c r="I92" s="34" t="s">
        <v>51</v>
      </c>
      <c r="J92" s="20" t="s">
        <v>526</v>
      </c>
      <c r="K92" s="35">
        <v>69.86</v>
      </c>
      <c r="L92" s="30">
        <v>6.16</v>
      </c>
      <c r="M92" s="30"/>
      <c r="N92" s="42">
        <v>76.32</v>
      </c>
      <c r="O92" s="42">
        <f t="shared" si="33"/>
        <v>6.46</v>
      </c>
      <c r="P92" s="35">
        <v>23503.8</v>
      </c>
      <c r="Q92" s="35">
        <v>1478.4</v>
      </c>
      <c r="R92" s="42">
        <f t="shared" si="34"/>
        <v>336.44</v>
      </c>
      <c r="S92" s="42" t="s">
        <v>59</v>
      </c>
      <c r="T92" s="47" t="s">
        <v>527</v>
      </c>
      <c r="U92" s="49"/>
      <c r="V92" s="27">
        <v>76.48</v>
      </c>
      <c r="W92" s="27"/>
      <c r="X92" s="27">
        <v>76.48</v>
      </c>
      <c r="Y92" s="50">
        <f t="shared" si="35"/>
        <v>2173.4</v>
      </c>
      <c r="Z92" s="27"/>
      <c r="AA92" s="51">
        <f t="shared" si="36"/>
        <v>2136.96</v>
      </c>
      <c r="AB92" s="27"/>
      <c r="AC92" s="27"/>
      <c r="AD92" s="27"/>
      <c r="AE92" s="27"/>
      <c r="AF92" s="27"/>
      <c r="AG92" s="27"/>
      <c r="AH92" s="51">
        <f>(X92-N92)*1500</f>
        <v>240.000000000016</v>
      </c>
      <c r="AI92" s="27"/>
      <c r="AJ92" s="53">
        <f>Y92+AA92+AE92+AF92+AG92+AH92</f>
        <v>4550.36</v>
      </c>
      <c r="AK92" s="59">
        <f t="shared" si="31"/>
        <v>45.5</v>
      </c>
      <c r="AL92" s="59">
        <f t="shared" si="25"/>
        <v>4416.72</v>
      </c>
      <c r="AM92" s="60">
        <v>1200</v>
      </c>
      <c r="AN92" s="59">
        <f t="shared" si="27"/>
        <v>10212.58</v>
      </c>
      <c r="AO92" s="64">
        <f t="shared" si="26"/>
        <v>11964.75</v>
      </c>
      <c r="AP92" s="27"/>
      <c r="AQ92" s="49"/>
    </row>
    <row r="93" s="2" customFormat="true" ht="27" spans="1:43">
      <c r="A93" s="23" t="s">
        <v>528</v>
      </c>
      <c r="B93" s="18">
        <v>90</v>
      </c>
      <c r="C93" s="19" t="s">
        <v>529</v>
      </c>
      <c r="D93" s="20" t="s">
        <v>530</v>
      </c>
      <c r="E93" s="20" t="s">
        <v>49</v>
      </c>
      <c r="F93" s="19" t="s">
        <v>50</v>
      </c>
      <c r="G93" s="30"/>
      <c r="H93" s="19" t="s">
        <v>529</v>
      </c>
      <c r="I93" s="34" t="s">
        <v>51</v>
      </c>
      <c r="J93" s="20" t="s">
        <v>531</v>
      </c>
      <c r="K93" s="35">
        <v>67.36</v>
      </c>
      <c r="L93" s="35">
        <v>6.77</v>
      </c>
      <c r="M93" s="35">
        <v>4.06</v>
      </c>
      <c r="N93" s="42">
        <v>77.64</v>
      </c>
      <c r="O93" s="42">
        <f t="shared" ref="O93:O109" si="37">K93*0.0924</f>
        <v>6.22</v>
      </c>
      <c r="P93" s="35">
        <v>21555.2</v>
      </c>
      <c r="Q93" s="35">
        <v>1624.8</v>
      </c>
      <c r="R93" s="42">
        <f t="shared" si="34"/>
        <v>320</v>
      </c>
      <c r="S93" s="42" t="s">
        <v>532</v>
      </c>
      <c r="T93" s="47" t="s">
        <v>533</v>
      </c>
      <c r="U93" s="19"/>
      <c r="V93" s="27">
        <v>89.33</v>
      </c>
      <c r="W93" s="27">
        <v>2.78</v>
      </c>
      <c r="X93" s="27">
        <v>86.55</v>
      </c>
      <c r="Y93" s="50">
        <f t="shared" ref="Y93:Y109" si="38">R93*O93</f>
        <v>1990.4</v>
      </c>
      <c r="Z93" s="51"/>
      <c r="AA93" s="51">
        <f t="shared" si="36"/>
        <v>2173.92</v>
      </c>
      <c r="AB93" s="51"/>
      <c r="AC93" s="51"/>
      <c r="AD93" s="51"/>
      <c r="AE93" s="51"/>
      <c r="AF93" s="51">
        <f>(85-77.64)*2800</f>
        <v>20608</v>
      </c>
      <c r="AG93" s="51"/>
      <c r="AH93" s="51">
        <f>1.55*1500</f>
        <v>2325</v>
      </c>
      <c r="AI93" s="51"/>
      <c r="AJ93" s="53">
        <f t="shared" ref="AJ93:AJ102" si="39">Y93+AA93+AF93+AG93+AH93+AE93</f>
        <v>27097.32</v>
      </c>
      <c r="AK93" s="59">
        <f t="shared" si="31"/>
        <v>270.97</v>
      </c>
      <c r="AL93" s="59">
        <f t="shared" si="25"/>
        <v>5158.81</v>
      </c>
      <c r="AM93" s="60">
        <v>1200</v>
      </c>
      <c r="AN93" s="59">
        <f t="shared" si="27"/>
        <v>33727.1</v>
      </c>
      <c r="AO93" s="64"/>
      <c r="AP93" s="51"/>
      <c r="AQ93" s="51"/>
    </row>
    <row r="94" s="2" customFormat="true" ht="27" spans="1:43">
      <c r="A94" s="23" t="s">
        <v>534</v>
      </c>
      <c r="B94" s="18">
        <v>91</v>
      </c>
      <c r="C94" s="19" t="s">
        <v>535</v>
      </c>
      <c r="D94" s="20" t="s">
        <v>536</v>
      </c>
      <c r="E94" s="20" t="s">
        <v>49</v>
      </c>
      <c r="F94" s="19" t="s">
        <v>50</v>
      </c>
      <c r="G94" s="30"/>
      <c r="H94" s="19" t="s">
        <v>535</v>
      </c>
      <c r="I94" s="34" t="s">
        <v>51</v>
      </c>
      <c r="J94" s="20" t="s">
        <v>537</v>
      </c>
      <c r="K94" s="35">
        <v>66.55</v>
      </c>
      <c r="L94" s="30">
        <v>6.6</v>
      </c>
      <c r="M94" s="35">
        <v>3.96</v>
      </c>
      <c r="N94" s="42">
        <v>76.66</v>
      </c>
      <c r="O94" s="42">
        <f t="shared" si="37"/>
        <v>6.15</v>
      </c>
      <c r="P94" s="35">
        <v>21296</v>
      </c>
      <c r="Q94" s="35">
        <v>1440</v>
      </c>
      <c r="R94" s="42">
        <f t="shared" si="34"/>
        <v>320</v>
      </c>
      <c r="S94" s="42" t="s">
        <v>532</v>
      </c>
      <c r="T94" s="47" t="s">
        <v>538</v>
      </c>
      <c r="U94" s="19"/>
      <c r="V94" s="26">
        <v>85.65</v>
      </c>
      <c r="W94" s="50"/>
      <c r="X94" s="26">
        <v>85.65</v>
      </c>
      <c r="Y94" s="50">
        <f t="shared" si="38"/>
        <v>1968</v>
      </c>
      <c r="Z94" s="51"/>
      <c r="AA94" s="51">
        <f t="shared" si="36"/>
        <v>2146.48</v>
      </c>
      <c r="AB94" s="51"/>
      <c r="AC94" s="51"/>
      <c r="AD94" s="51"/>
      <c r="AE94" s="51"/>
      <c r="AF94" s="28">
        <f>(85-76.66)*2800</f>
        <v>23352</v>
      </c>
      <c r="AG94" s="28"/>
      <c r="AH94" s="28">
        <f>0.65*1500</f>
        <v>975</v>
      </c>
      <c r="AI94" s="28"/>
      <c r="AJ94" s="53">
        <f t="shared" si="39"/>
        <v>28441.48</v>
      </c>
      <c r="AK94" s="59">
        <f t="shared" si="31"/>
        <v>284.41</v>
      </c>
      <c r="AL94" s="59">
        <f t="shared" si="25"/>
        <v>4946.29</v>
      </c>
      <c r="AM94" s="60">
        <v>1200</v>
      </c>
      <c r="AN94" s="59">
        <f t="shared" si="27"/>
        <v>34872.18</v>
      </c>
      <c r="AO94" s="64"/>
      <c r="AP94" s="28"/>
      <c r="AQ94" s="51"/>
    </row>
    <row r="95" s="2" customFormat="true" ht="27" spans="1:43">
      <c r="A95" s="23" t="s">
        <v>539</v>
      </c>
      <c r="B95" s="18">
        <v>92</v>
      </c>
      <c r="C95" s="19" t="s">
        <v>540</v>
      </c>
      <c r="D95" s="20" t="s">
        <v>541</v>
      </c>
      <c r="E95" s="20" t="s">
        <v>49</v>
      </c>
      <c r="F95" s="19" t="s">
        <v>50</v>
      </c>
      <c r="G95" s="30"/>
      <c r="H95" s="19" t="s">
        <v>540</v>
      </c>
      <c r="I95" s="34" t="s">
        <v>51</v>
      </c>
      <c r="J95" s="20" t="s">
        <v>542</v>
      </c>
      <c r="K95" s="35">
        <v>66.55</v>
      </c>
      <c r="L95" s="30">
        <v>6.6</v>
      </c>
      <c r="M95" s="35">
        <v>3.96</v>
      </c>
      <c r="N95" s="42">
        <v>76.66</v>
      </c>
      <c r="O95" s="42">
        <f t="shared" si="37"/>
        <v>6.15</v>
      </c>
      <c r="P95" s="35">
        <v>21296</v>
      </c>
      <c r="Q95" s="35">
        <v>1440</v>
      </c>
      <c r="R95" s="42">
        <f t="shared" si="34"/>
        <v>320</v>
      </c>
      <c r="S95" s="42" t="s">
        <v>532</v>
      </c>
      <c r="T95" s="47" t="s">
        <v>543</v>
      </c>
      <c r="U95" s="19"/>
      <c r="V95" s="26">
        <v>96.44</v>
      </c>
      <c r="W95" s="50"/>
      <c r="X95" s="26">
        <v>96.44</v>
      </c>
      <c r="Y95" s="50">
        <f t="shared" si="38"/>
        <v>1968</v>
      </c>
      <c r="Z95" s="51"/>
      <c r="AA95" s="51">
        <f t="shared" si="36"/>
        <v>2146.48</v>
      </c>
      <c r="AB95" s="51"/>
      <c r="AC95" s="51"/>
      <c r="AD95" s="51"/>
      <c r="AE95" s="51"/>
      <c r="AF95" s="52">
        <f>(85-76.66)*2800</f>
        <v>23352</v>
      </c>
      <c r="AG95" s="52">
        <v>34000</v>
      </c>
      <c r="AH95" s="51">
        <f>1.44*1500</f>
        <v>2160</v>
      </c>
      <c r="AI95" s="51"/>
      <c r="AJ95" s="53">
        <f t="shared" si="39"/>
        <v>63626.48</v>
      </c>
      <c r="AK95" s="59">
        <f>AJ95*0.015</f>
        <v>954.4</v>
      </c>
      <c r="AL95" s="59">
        <f t="shared" si="25"/>
        <v>5569.41</v>
      </c>
      <c r="AM95" s="60">
        <v>1200</v>
      </c>
      <c r="AN95" s="59">
        <f t="shared" si="27"/>
        <v>71350.29</v>
      </c>
      <c r="AO95" s="64"/>
      <c r="AP95" s="51"/>
      <c r="AQ95" s="51"/>
    </row>
    <row r="96" s="2" customFormat="true" ht="27" spans="1:43">
      <c r="A96" s="17" t="s">
        <v>544</v>
      </c>
      <c r="B96" s="18">
        <v>93</v>
      </c>
      <c r="C96" s="19" t="s">
        <v>545</v>
      </c>
      <c r="D96" s="20" t="s">
        <v>546</v>
      </c>
      <c r="E96" s="20" t="s">
        <v>49</v>
      </c>
      <c r="F96" s="19" t="s">
        <v>50</v>
      </c>
      <c r="G96" s="20"/>
      <c r="H96" s="19" t="s">
        <v>545</v>
      </c>
      <c r="I96" s="34" t="s">
        <v>51</v>
      </c>
      <c r="J96" s="20" t="s">
        <v>547</v>
      </c>
      <c r="K96" s="35">
        <v>66.55</v>
      </c>
      <c r="L96" s="35">
        <v>6.6</v>
      </c>
      <c r="M96" s="35">
        <v>3.96</v>
      </c>
      <c r="N96" s="42">
        <v>76.66</v>
      </c>
      <c r="O96" s="42">
        <f t="shared" si="37"/>
        <v>6.15</v>
      </c>
      <c r="P96" s="35">
        <v>21296</v>
      </c>
      <c r="Q96" s="35">
        <v>1440</v>
      </c>
      <c r="R96" s="42">
        <f t="shared" si="34"/>
        <v>320</v>
      </c>
      <c r="S96" s="42" t="s">
        <v>532</v>
      </c>
      <c r="T96" s="47" t="s">
        <v>548</v>
      </c>
      <c r="U96" s="51"/>
      <c r="V96" s="26">
        <v>85.71</v>
      </c>
      <c r="W96" s="50"/>
      <c r="X96" s="26">
        <v>85.71</v>
      </c>
      <c r="Y96" s="50">
        <f t="shared" si="38"/>
        <v>1968</v>
      </c>
      <c r="Z96" s="52"/>
      <c r="AA96" s="51">
        <f t="shared" si="36"/>
        <v>2146.48</v>
      </c>
      <c r="AB96" s="28"/>
      <c r="AC96" s="28"/>
      <c r="AD96" s="28"/>
      <c r="AE96" s="28"/>
      <c r="AF96" s="28">
        <f>(85-76.66)*2800</f>
        <v>23352</v>
      </c>
      <c r="AG96" s="28"/>
      <c r="AH96" s="28">
        <f>0.71*1500</f>
        <v>1065</v>
      </c>
      <c r="AI96" s="28"/>
      <c r="AJ96" s="53">
        <f t="shared" si="39"/>
        <v>28531.48</v>
      </c>
      <c r="AK96" s="59">
        <f>AJ96*0.01</f>
        <v>285.31</v>
      </c>
      <c r="AL96" s="59">
        <f t="shared" si="25"/>
        <v>4949.75</v>
      </c>
      <c r="AM96" s="60">
        <v>1200</v>
      </c>
      <c r="AN96" s="59">
        <f t="shared" si="27"/>
        <v>34966.54</v>
      </c>
      <c r="AO96" s="64"/>
      <c r="AP96" s="28"/>
      <c r="AQ96" s="51"/>
    </row>
    <row r="97" s="2" customFormat="true" ht="27" spans="1:43">
      <c r="A97" s="23" t="s">
        <v>549</v>
      </c>
      <c r="B97" s="18">
        <v>94</v>
      </c>
      <c r="C97" s="19" t="s">
        <v>550</v>
      </c>
      <c r="D97" s="20" t="s">
        <v>551</v>
      </c>
      <c r="E97" s="20" t="s">
        <v>49</v>
      </c>
      <c r="F97" s="19" t="s">
        <v>50</v>
      </c>
      <c r="G97" s="30"/>
      <c r="H97" s="19" t="s">
        <v>550</v>
      </c>
      <c r="I97" s="34" t="s">
        <v>51</v>
      </c>
      <c r="J97" s="20" t="s">
        <v>552</v>
      </c>
      <c r="K97" s="35">
        <v>67.36</v>
      </c>
      <c r="L97" s="35">
        <v>6.77</v>
      </c>
      <c r="M97" s="35">
        <v>4.06</v>
      </c>
      <c r="N97" s="42">
        <v>77.64</v>
      </c>
      <c r="O97" s="42">
        <f t="shared" si="37"/>
        <v>6.22</v>
      </c>
      <c r="P97" s="35">
        <v>21555.2</v>
      </c>
      <c r="Q97" s="35">
        <v>1624.8</v>
      </c>
      <c r="R97" s="42">
        <f t="shared" si="34"/>
        <v>320</v>
      </c>
      <c r="S97" s="42" t="s">
        <v>532</v>
      </c>
      <c r="T97" s="47" t="s">
        <v>553</v>
      </c>
      <c r="U97" s="19"/>
      <c r="V97" s="26">
        <v>85.71</v>
      </c>
      <c r="W97" s="50"/>
      <c r="X97" s="26">
        <v>85.71</v>
      </c>
      <c r="Y97" s="50">
        <f t="shared" si="38"/>
        <v>1990.4</v>
      </c>
      <c r="Z97" s="51"/>
      <c r="AA97" s="51">
        <f t="shared" si="36"/>
        <v>2173.92</v>
      </c>
      <c r="AB97" s="51"/>
      <c r="AC97" s="51"/>
      <c r="AD97" s="51"/>
      <c r="AE97" s="51"/>
      <c r="AF97" s="51">
        <f>(85-77.64)*2800</f>
        <v>20608</v>
      </c>
      <c r="AG97" s="51"/>
      <c r="AH97" s="28">
        <f>0.71*1500</f>
        <v>1065</v>
      </c>
      <c r="AI97" s="51"/>
      <c r="AJ97" s="53">
        <f t="shared" si="39"/>
        <v>25837.32</v>
      </c>
      <c r="AK97" s="59">
        <f>AJ97*0.01</f>
        <v>258.37</v>
      </c>
      <c r="AL97" s="59">
        <f t="shared" si="25"/>
        <v>4949.75</v>
      </c>
      <c r="AM97" s="60">
        <v>1200</v>
      </c>
      <c r="AN97" s="59">
        <f t="shared" si="27"/>
        <v>32245.44</v>
      </c>
      <c r="AO97" s="64"/>
      <c r="AP97" s="51"/>
      <c r="AQ97" s="51"/>
    </row>
    <row r="98" s="2" customFormat="true" ht="27" spans="1:43">
      <c r="A98" s="23" t="s">
        <v>554</v>
      </c>
      <c r="B98" s="18">
        <v>95</v>
      </c>
      <c r="C98" s="19" t="s">
        <v>555</v>
      </c>
      <c r="D98" s="20" t="s">
        <v>556</v>
      </c>
      <c r="E98" s="20" t="s">
        <v>49</v>
      </c>
      <c r="F98" s="19" t="s">
        <v>50</v>
      </c>
      <c r="G98" s="30"/>
      <c r="H98" s="19" t="s">
        <v>555</v>
      </c>
      <c r="I98" s="34" t="s">
        <v>51</v>
      </c>
      <c r="J98" s="20" t="s">
        <v>557</v>
      </c>
      <c r="K98" s="35">
        <v>67.36</v>
      </c>
      <c r="L98" s="35">
        <v>6.77</v>
      </c>
      <c r="M98" s="35">
        <v>4.06</v>
      </c>
      <c r="N98" s="42">
        <v>77.64</v>
      </c>
      <c r="O98" s="42">
        <f t="shared" si="37"/>
        <v>6.22</v>
      </c>
      <c r="P98" s="35">
        <v>21555.2</v>
      </c>
      <c r="Q98" s="35">
        <v>1624.8</v>
      </c>
      <c r="R98" s="42">
        <f t="shared" si="34"/>
        <v>320</v>
      </c>
      <c r="S98" s="42" t="s">
        <v>532</v>
      </c>
      <c r="T98" s="47" t="s">
        <v>558</v>
      </c>
      <c r="U98" s="19"/>
      <c r="V98" s="19">
        <v>96.2</v>
      </c>
      <c r="W98" s="50"/>
      <c r="X98" s="19">
        <v>96.2</v>
      </c>
      <c r="Y98" s="50">
        <f t="shared" si="38"/>
        <v>1990.4</v>
      </c>
      <c r="Z98" s="51"/>
      <c r="AA98" s="51">
        <f t="shared" si="36"/>
        <v>2173.92</v>
      </c>
      <c r="AB98" s="51"/>
      <c r="AC98" s="51"/>
      <c r="AD98" s="51"/>
      <c r="AE98" s="51"/>
      <c r="AF98" s="52">
        <f>(85-77.64)*2800</f>
        <v>20608</v>
      </c>
      <c r="AG98" s="52">
        <v>34000</v>
      </c>
      <c r="AH98" s="51">
        <f>1.2*1500</f>
        <v>1800</v>
      </c>
      <c r="AI98" s="51"/>
      <c r="AJ98" s="53">
        <f t="shared" si="39"/>
        <v>60572.32</v>
      </c>
      <c r="AK98" s="59">
        <f>AJ98*0.015</f>
        <v>908.58</v>
      </c>
      <c r="AL98" s="59">
        <f t="shared" ref="AL98:AL111" si="40">V98*1155*0.05</f>
        <v>5555.55</v>
      </c>
      <c r="AM98" s="60">
        <v>1200</v>
      </c>
      <c r="AN98" s="59">
        <f t="shared" si="27"/>
        <v>68236.45</v>
      </c>
      <c r="AO98" s="64"/>
      <c r="AP98" s="51"/>
      <c r="AQ98" s="51"/>
    </row>
    <row r="99" s="2" customFormat="true" ht="40.5" spans="1:43">
      <c r="A99" s="23" t="s">
        <v>559</v>
      </c>
      <c r="B99" s="18">
        <v>96</v>
      </c>
      <c r="C99" s="19" t="s">
        <v>560</v>
      </c>
      <c r="D99" s="20" t="s">
        <v>561</v>
      </c>
      <c r="E99" s="20" t="s">
        <v>49</v>
      </c>
      <c r="F99" s="19" t="s">
        <v>50</v>
      </c>
      <c r="G99" s="30"/>
      <c r="H99" s="19" t="s">
        <v>560</v>
      </c>
      <c r="I99" s="34" t="s">
        <v>51</v>
      </c>
      <c r="J99" s="20" t="s">
        <v>562</v>
      </c>
      <c r="K99" s="35">
        <v>66.55</v>
      </c>
      <c r="L99" s="30">
        <v>6.6</v>
      </c>
      <c r="M99" s="35">
        <v>3.96</v>
      </c>
      <c r="N99" s="42">
        <v>76.66</v>
      </c>
      <c r="O99" s="42">
        <f t="shared" si="37"/>
        <v>6.15</v>
      </c>
      <c r="P99" s="35">
        <v>21296</v>
      </c>
      <c r="Q99" s="35">
        <v>1440</v>
      </c>
      <c r="R99" s="42">
        <f t="shared" si="34"/>
        <v>320</v>
      </c>
      <c r="S99" s="42" t="s">
        <v>532</v>
      </c>
      <c r="T99" s="47" t="s">
        <v>563</v>
      </c>
      <c r="U99" s="19"/>
      <c r="V99" s="26">
        <v>85.44</v>
      </c>
      <c r="W99" s="50"/>
      <c r="X99" s="26">
        <v>85.44</v>
      </c>
      <c r="Y99" s="50">
        <f t="shared" si="38"/>
        <v>1968</v>
      </c>
      <c r="Z99" s="51"/>
      <c r="AA99" s="51">
        <f t="shared" si="36"/>
        <v>2146.48</v>
      </c>
      <c r="AB99" s="51"/>
      <c r="AC99" s="51"/>
      <c r="AD99" s="51"/>
      <c r="AE99" s="51"/>
      <c r="AF99" s="28">
        <f>(85-76.66)*2800</f>
        <v>23352</v>
      </c>
      <c r="AG99" s="28"/>
      <c r="AH99" s="28">
        <f>0.44*1500</f>
        <v>660</v>
      </c>
      <c r="AI99" s="28"/>
      <c r="AJ99" s="53">
        <f t="shared" si="39"/>
        <v>28126.48</v>
      </c>
      <c r="AK99" s="59">
        <f>AJ99*0.01</f>
        <v>281.26</v>
      </c>
      <c r="AL99" s="59">
        <f t="shared" si="40"/>
        <v>4934.16</v>
      </c>
      <c r="AM99" s="60">
        <v>1200</v>
      </c>
      <c r="AN99" s="59">
        <f t="shared" ref="AN99:AN110" si="41">SUM(AJ99:AM99)</f>
        <v>34541.9</v>
      </c>
      <c r="AO99" s="64"/>
      <c r="AP99" s="28"/>
      <c r="AQ99" s="51"/>
    </row>
    <row r="100" s="2" customFormat="true" ht="27" spans="1:43">
      <c r="A100" s="23" t="s">
        <v>564</v>
      </c>
      <c r="B100" s="18">
        <v>97</v>
      </c>
      <c r="C100" s="19" t="s">
        <v>565</v>
      </c>
      <c r="D100" s="20" t="s">
        <v>566</v>
      </c>
      <c r="E100" s="20" t="s">
        <v>49</v>
      </c>
      <c r="F100" s="19" t="s">
        <v>50</v>
      </c>
      <c r="G100" s="30"/>
      <c r="H100" s="19" t="s">
        <v>565</v>
      </c>
      <c r="I100" s="34" t="s">
        <v>51</v>
      </c>
      <c r="J100" s="20" t="s">
        <v>567</v>
      </c>
      <c r="K100" s="35">
        <v>66.55</v>
      </c>
      <c r="L100" s="30">
        <v>6.6</v>
      </c>
      <c r="M100" s="35">
        <v>3.96</v>
      </c>
      <c r="N100" s="42">
        <v>76.66</v>
      </c>
      <c r="O100" s="42">
        <f t="shared" si="37"/>
        <v>6.15</v>
      </c>
      <c r="P100" s="35">
        <v>21296</v>
      </c>
      <c r="Q100" s="35">
        <v>1440</v>
      </c>
      <c r="R100" s="42">
        <f t="shared" si="34"/>
        <v>320</v>
      </c>
      <c r="S100" s="42" t="s">
        <v>532</v>
      </c>
      <c r="T100" s="47" t="s">
        <v>568</v>
      </c>
      <c r="U100" s="19"/>
      <c r="V100" s="26">
        <v>85.37</v>
      </c>
      <c r="W100" s="50"/>
      <c r="X100" s="26">
        <v>85.37</v>
      </c>
      <c r="Y100" s="50">
        <f t="shared" si="38"/>
        <v>1968</v>
      </c>
      <c r="Z100" s="51"/>
      <c r="AA100" s="51">
        <f t="shared" si="36"/>
        <v>2146.48</v>
      </c>
      <c r="AB100" s="51"/>
      <c r="AC100" s="51"/>
      <c r="AD100" s="51"/>
      <c r="AE100" s="51"/>
      <c r="AF100" s="28">
        <f>(85-76.66)*2800</f>
        <v>23352</v>
      </c>
      <c r="AG100" s="28"/>
      <c r="AH100" s="28">
        <f>0.37*1500</f>
        <v>555</v>
      </c>
      <c r="AI100" s="28"/>
      <c r="AJ100" s="53">
        <f t="shared" si="39"/>
        <v>28021.48</v>
      </c>
      <c r="AK100" s="59">
        <f>AJ100*0.01</f>
        <v>280.21</v>
      </c>
      <c r="AL100" s="59">
        <f t="shared" si="40"/>
        <v>4930.12</v>
      </c>
      <c r="AM100" s="60">
        <v>1200</v>
      </c>
      <c r="AN100" s="59">
        <f t="shared" si="41"/>
        <v>34431.81</v>
      </c>
      <c r="AO100" s="64"/>
      <c r="AP100" s="28"/>
      <c r="AQ100" s="51"/>
    </row>
    <row r="101" s="2" customFormat="true" ht="27" spans="1:43">
      <c r="A101" s="23" t="s">
        <v>569</v>
      </c>
      <c r="B101" s="18">
        <v>98</v>
      </c>
      <c r="C101" s="19" t="s">
        <v>570</v>
      </c>
      <c r="D101" s="20" t="s">
        <v>571</v>
      </c>
      <c r="E101" s="20" t="s">
        <v>49</v>
      </c>
      <c r="F101" s="19" t="s">
        <v>50</v>
      </c>
      <c r="G101" s="30"/>
      <c r="H101" s="19" t="s">
        <v>570</v>
      </c>
      <c r="I101" s="34" t="s">
        <v>51</v>
      </c>
      <c r="J101" s="20" t="s">
        <v>572</v>
      </c>
      <c r="K101" s="35">
        <v>66.55</v>
      </c>
      <c r="L101" s="30">
        <v>6.6</v>
      </c>
      <c r="M101" s="35">
        <v>3.96</v>
      </c>
      <c r="N101" s="42">
        <v>76.66</v>
      </c>
      <c r="O101" s="42">
        <f t="shared" si="37"/>
        <v>6.15</v>
      </c>
      <c r="P101" s="35">
        <v>21296</v>
      </c>
      <c r="Q101" s="35">
        <v>1440</v>
      </c>
      <c r="R101" s="42">
        <f t="shared" si="34"/>
        <v>320</v>
      </c>
      <c r="S101" s="42" t="s">
        <v>532</v>
      </c>
      <c r="T101" s="47" t="s">
        <v>573</v>
      </c>
      <c r="U101" s="19"/>
      <c r="V101" s="26">
        <v>85.71</v>
      </c>
      <c r="W101" s="50"/>
      <c r="X101" s="26">
        <v>85.71</v>
      </c>
      <c r="Y101" s="50">
        <f t="shared" si="38"/>
        <v>1968</v>
      </c>
      <c r="Z101" s="51"/>
      <c r="AA101" s="51">
        <f t="shared" si="36"/>
        <v>2146.48</v>
      </c>
      <c r="AB101" s="51"/>
      <c r="AC101" s="51"/>
      <c r="AD101" s="51"/>
      <c r="AE101" s="51"/>
      <c r="AF101" s="28">
        <f>(85-76.66)*2800</f>
        <v>23352</v>
      </c>
      <c r="AG101" s="28"/>
      <c r="AH101" s="28">
        <f>0.71*1500</f>
        <v>1065</v>
      </c>
      <c r="AI101" s="28"/>
      <c r="AJ101" s="53">
        <f t="shared" si="39"/>
        <v>28531.48</v>
      </c>
      <c r="AK101" s="59">
        <f>AJ101*0.01</f>
        <v>285.31</v>
      </c>
      <c r="AL101" s="59">
        <f t="shared" si="40"/>
        <v>4949.75</v>
      </c>
      <c r="AM101" s="60">
        <v>1200</v>
      </c>
      <c r="AN101" s="59">
        <f t="shared" si="41"/>
        <v>34966.54</v>
      </c>
      <c r="AO101" s="64"/>
      <c r="AP101" s="28"/>
      <c r="AQ101" s="51"/>
    </row>
    <row r="102" s="2" customFormat="true" ht="27" spans="1:43">
      <c r="A102" s="23" t="s">
        <v>574</v>
      </c>
      <c r="B102" s="18">
        <v>99</v>
      </c>
      <c r="C102" s="19" t="s">
        <v>575</v>
      </c>
      <c r="D102" s="20" t="s">
        <v>576</v>
      </c>
      <c r="E102" s="20" t="s">
        <v>49</v>
      </c>
      <c r="F102" s="19" t="s">
        <v>50</v>
      </c>
      <c r="G102" s="30"/>
      <c r="H102" s="19" t="s">
        <v>575</v>
      </c>
      <c r="I102" s="34" t="s">
        <v>51</v>
      </c>
      <c r="J102" s="20" t="s">
        <v>577</v>
      </c>
      <c r="K102" s="35">
        <v>66.55</v>
      </c>
      <c r="L102" s="30">
        <v>6.6</v>
      </c>
      <c r="M102" s="35">
        <v>3.96</v>
      </c>
      <c r="N102" s="42">
        <v>76.66</v>
      </c>
      <c r="O102" s="42">
        <f t="shared" si="37"/>
        <v>6.15</v>
      </c>
      <c r="P102" s="35">
        <v>21296</v>
      </c>
      <c r="Q102" s="35">
        <v>1440</v>
      </c>
      <c r="R102" s="42">
        <f t="shared" si="34"/>
        <v>320</v>
      </c>
      <c r="S102" s="42" t="s">
        <v>532</v>
      </c>
      <c r="T102" s="47" t="s">
        <v>578</v>
      </c>
      <c r="U102" s="19"/>
      <c r="V102" s="26">
        <v>85.71</v>
      </c>
      <c r="W102" s="50"/>
      <c r="X102" s="26">
        <v>85.71</v>
      </c>
      <c r="Y102" s="50">
        <f t="shared" si="38"/>
        <v>1968</v>
      </c>
      <c r="Z102" s="51"/>
      <c r="AA102" s="51">
        <f t="shared" si="36"/>
        <v>2146.48</v>
      </c>
      <c r="AB102" s="51"/>
      <c r="AC102" s="51"/>
      <c r="AD102" s="51"/>
      <c r="AE102" s="51"/>
      <c r="AF102" s="28">
        <f>(85-76.66)*2800</f>
        <v>23352</v>
      </c>
      <c r="AG102" s="28"/>
      <c r="AH102" s="28">
        <f>0.71*1500</f>
        <v>1065</v>
      </c>
      <c r="AI102" s="28"/>
      <c r="AJ102" s="53">
        <f t="shared" si="39"/>
        <v>28531.48</v>
      </c>
      <c r="AK102" s="59">
        <f>AJ102*0.01</f>
        <v>285.31</v>
      </c>
      <c r="AL102" s="59">
        <f t="shared" si="40"/>
        <v>4949.75</v>
      </c>
      <c r="AM102" s="60">
        <v>1200</v>
      </c>
      <c r="AN102" s="59">
        <f t="shared" si="41"/>
        <v>34966.54</v>
      </c>
      <c r="AO102" s="64"/>
      <c r="AP102" s="28"/>
      <c r="AQ102" s="51"/>
    </row>
    <row r="103" s="2" customFormat="true" ht="27" spans="1:43">
      <c r="A103" s="24" t="s">
        <v>579</v>
      </c>
      <c r="B103" s="18">
        <v>100</v>
      </c>
      <c r="C103" s="19" t="s">
        <v>580</v>
      </c>
      <c r="D103" s="20" t="s">
        <v>581</v>
      </c>
      <c r="E103" s="20" t="s">
        <v>76</v>
      </c>
      <c r="F103" s="19" t="s">
        <v>50</v>
      </c>
      <c r="G103" s="19"/>
      <c r="H103" s="19" t="s">
        <v>580</v>
      </c>
      <c r="I103" s="34" t="s">
        <v>51</v>
      </c>
      <c r="J103" s="20" t="s">
        <v>582</v>
      </c>
      <c r="K103" s="35">
        <v>66.55</v>
      </c>
      <c r="L103" s="30">
        <v>6.6</v>
      </c>
      <c r="M103" s="35">
        <v>4.03</v>
      </c>
      <c r="N103" s="42">
        <v>76.73</v>
      </c>
      <c r="O103" s="42">
        <f t="shared" si="37"/>
        <v>6.15</v>
      </c>
      <c r="P103" s="35">
        <v>21296</v>
      </c>
      <c r="Q103" s="35">
        <v>1440</v>
      </c>
      <c r="R103" s="42">
        <f t="shared" si="34"/>
        <v>320</v>
      </c>
      <c r="S103" s="42" t="s">
        <v>532</v>
      </c>
      <c r="T103" s="47" t="s">
        <v>583</v>
      </c>
      <c r="U103" s="19"/>
      <c r="V103" s="26">
        <v>95.41</v>
      </c>
      <c r="W103" s="50"/>
      <c r="X103" s="26">
        <v>95.41</v>
      </c>
      <c r="Y103" s="50">
        <f t="shared" si="38"/>
        <v>1968</v>
      </c>
      <c r="Z103" s="51"/>
      <c r="AA103" s="51">
        <f t="shared" si="36"/>
        <v>2148.44</v>
      </c>
      <c r="AB103" s="51"/>
      <c r="AC103" s="52"/>
      <c r="AD103" s="52"/>
      <c r="AE103" s="52"/>
      <c r="AF103" s="52">
        <f>(85-76.73)*2800</f>
        <v>23156</v>
      </c>
      <c r="AG103" s="52">
        <v>34000</v>
      </c>
      <c r="AH103" s="52">
        <f>0.41*1500</f>
        <v>615</v>
      </c>
      <c r="AI103" s="52"/>
      <c r="AJ103" s="53">
        <f>Y103+AA103+AF103+AG103+AH103</f>
        <v>61887.44</v>
      </c>
      <c r="AK103" s="59">
        <f>AJ103*0.015</f>
        <v>928.31</v>
      </c>
      <c r="AL103" s="59">
        <f t="shared" si="40"/>
        <v>5509.93</v>
      </c>
      <c r="AM103" s="60">
        <v>1200</v>
      </c>
      <c r="AN103" s="59">
        <f t="shared" si="41"/>
        <v>69525.68</v>
      </c>
      <c r="AO103" s="64"/>
      <c r="AP103" s="65"/>
      <c r="AQ103" s="52"/>
    </row>
    <row r="104" s="2" customFormat="true" ht="40.5" spans="1:43">
      <c r="A104" s="17" t="s">
        <v>584</v>
      </c>
      <c r="B104" s="18">
        <v>101</v>
      </c>
      <c r="C104" s="19" t="s">
        <v>585</v>
      </c>
      <c r="D104" s="20" t="s">
        <v>586</v>
      </c>
      <c r="E104" s="20" t="s">
        <v>131</v>
      </c>
      <c r="F104" s="19" t="s">
        <v>50</v>
      </c>
      <c r="G104" s="27"/>
      <c r="H104" s="19" t="s">
        <v>587</v>
      </c>
      <c r="I104" s="34" t="s">
        <v>51</v>
      </c>
      <c r="J104" s="20" t="s">
        <v>588</v>
      </c>
      <c r="K104" s="35">
        <v>60.91</v>
      </c>
      <c r="L104" s="35">
        <v>6.87</v>
      </c>
      <c r="M104" s="35">
        <v>4.19</v>
      </c>
      <c r="N104" s="42">
        <v>70.73</v>
      </c>
      <c r="O104" s="42">
        <f t="shared" si="37"/>
        <v>5.63</v>
      </c>
      <c r="P104" s="35">
        <v>19491.2</v>
      </c>
      <c r="Q104" s="35">
        <v>1648.8</v>
      </c>
      <c r="R104" s="42">
        <f t="shared" si="34"/>
        <v>320</v>
      </c>
      <c r="S104" s="42" t="s">
        <v>532</v>
      </c>
      <c r="T104" s="47" t="s">
        <v>589</v>
      </c>
      <c r="U104" s="49"/>
      <c r="V104" s="27">
        <v>95.38</v>
      </c>
      <c r="W104" s="27"/>
      <c r="X104" s="27">
        <v>95.38</v>
      </c>
      <c r="Y104" s="50">
        <f t="shared" si="38"/>
        <v>1801.6</v>
      </c>
      <c r="Z104" s="27"/>
      <c r="AA104" s="51">
        <f t="shared" si="36"/>
        <v>1980.44</v>
      </c>
      <c r="AB104" s="27"/>
      <c r="AC104" s="27"/>
      <c r="AD104" s="27"/>
      <c r="AE104" s="27">
        <f>(75-70.73)*1500</f>
        <v>6404.99999999999</v>
      </c>
      <c r="AF104" s="27"/>
      <c r="AG104" s="27">
        <f>3400*20</f>
        <v>68000</v>
      </c>
      <c r="AH104" s="27">
        <f>0.38*1500</f>
        <v>570</v>
      </c>
      <c r="AI104" s="27"/>
      <c r="AJ104" s="53">
        <f>Y104+AA104+AF104+AG104+AH104+AE104</f>
        <v>78757.04</v>
      </c>
      <c r="AK104" s="59">
        <f>AJ104*0.015</f>
        <v>1181.36</v>
      </c>
      <c r="AL104" s="59">
        <f t="shared" si="40"/>
        <v>5508.2</v>
      </c>
      <c r="AM104" s="60">
        <v>1200</v>
      </c>
      <c r="AN104" s="59">
        <f t="shared" si="41"/>
        <v>86646.6</v>
      </c>
      <c r="AO104" s="64"/>
      <c r="AP104" s="27"/>
      <c r="AQ104" s="49"/>
    </row>
    <row r="105" s="2" customFormat="true" ht="27" spans="1:43">
      <c r="A105" s="23" t="s">
        <v>590</v>
      </c>
      <c r="B105" s="18">
        <v>102</v>
      </c>
      <c r="C105" s="19" t="s">
        <v>591</v>
      </c>
      <c r="D105" s="20" t="s">
        <v>592</v>
      </c>
      <c r="E105" s="20" t="s">
        <v>49</v>
      </c>
      <c r="F105" s="19" t="s">
        <v>50</v>
      </c>
      <c r="G105" s="30"/>
      <c r="H105" s="19" t="s">
        <v>591</v>
      </c>
      <c r="I105" s="34" t="s">
        <v>51</v>
      </c>
      <c r="J105" s="20" t="s">
        <v>593</v>
      </c>
      <c r="K105" s="35">
        <v>66.55</v>
      </c>
      <c r="L105" s="30">
        <v>6.6</v>
      </c>
      <c r="M105" s="35">
        <v>4.03</v>
      </c>
      <c r="N105" s="42">
        <v>76.73</v>
      </c>
      <c r="O105" s="42">
        <f t="shared" si="37"/>
        <v>6.15</v>
      </c>
      <c r="P105" s="35">
        <v>21296</v>
      </c>
      <c r="Q105" s="35">
        <v>1440</v>
      </c>
      <c r="R105" s="42">
        <f t="shared" si="34"/>
        <v>320</v>
      </c>
      <c r="S105" s="42" t="s">
        <v>532</v>
      </c>
      <c r="T105" s="47" t="s">
        <v>594</v>
      </c>
      <c r="U105" s="19"/>
      <c r="V105" s="27">
        <v>95.38</v>
      </c>
      <c r="W105" s="50"/>
      <c r="X105" s="27">
        <v>95.38</v>
      </c>
      <c r="Y105" s="50">
        <f t="shared" si="38"/>
        <v>1968</v>
      </c>
      <c r="Z105" s="51"/>
      <c r="AA105" s="51">
        <f t="shared" si="36"/>
        <v>2148.44</v>
      </c>
      <c r="AB105" s="51"/>
      <c r="AC105" s="51"/>
      <c r="AD105" s="51"/>
      <c r="AE105" s="51"/>
      <c r="AF105" s="52">
        <f>(85-76.73)*2800</f>
        <v>23156</v>
      </c>
      <c r="AG105" s="52">
        <v>34000</v>
      </c>
      <c r="AH105" s="51">
        <f>0.38*1500</f>
        <v>570</v>
      </c>
      <c r="AI105" s="51"/>
      <c r="AJ105" s="53">
        <f>Y105+AA105+AF105+AG105+AH105+AE105</f>
        <v>61842.44</v>
      </c>
      <c r="AK105" s="59">
        <f>AJ105*0.015</f>
        <v>927.64</v>
      </c>
      <c r="AL105" s="59">
        <f t="shared" si="40"/>
        <v>5508.2</v>
      </c>
      <c r="AM105" s="60">
        <v>1200</v>
      </c>
      <c r="AN105" s="59">
        <f t="shared" si="41"/>
        <v>69478.28</v>
      </c>
      <c r="AO105" s="64"/>
      <c r="AP105" s="51"/>
      <c r="AQ105" s="51"/>
    </row>
    <row r="106" s="2" customFormat="true" ht="27" spans="1:43">
      <c r="A106" s="23" t="s">
        <v>595</v>
      </c>
      <c r="B106" s="18">
        <v>103</v>
      </c>
      <c r="C106" s="19" t="s">
        <v>596</v>
      </c>
      <c r="D106" s="20" t="s">
        <v>597</v>
      </c>
      <c r="E106" s="20" t="s">
        <v>49</v>
      </c>
      <c r="F106" s="19" t="s">
        <v>50</v>
      </c>
      <c r="G106" s="30"/>
      <c r="H106" s="19" t="s">
        <v>596</v>
      </c>
      <c r="I106" s="34" t="s">
        <v>51</v>
      </c>
      <c r="J106" s="20" t="s">
        <v>598</v>
      </c>
      <c r="K106" s="35">
        <v>66.55</v>
      </c>
      <c r="L106" s="30">
        <v>6.6</v>
      </c>
      <c r="M106" s="35">
        <v>4.03</v>
      </c>
      <c r="N106" s="42">
        <v>76.73</v>
      </c>
      <c r="O106" s="42">
        <f t="shared" si="37"/>
        <v>6.15</v>
      </c>
      <c r="P106" s="35">
        <v>21296</v>
      </c>
      <c r="Q106" s="35">
        <v>1440</v>
      </c>
      <c r="R106" s="42">
        <f t="shared" si="34"/>
        <v>320</v>
      </c>
      <c r="S106" s="42" t="s">
        <v>532</v>
      </c>
      <c r="T106" s="47" t="s">
        <v>599</v>
      </c>
      <c r="U106" s="19"/>
      <c r="V106" s="27">
        <v>95.38</v>
      </c>
      <c r="W106" s="50"/>
      <c r="X106" s="27">
        <v>95.38</v>
      </c>
      <c r="Y106" s="50">
        <f t="shared" si="38"/>
        <v>1968</v>
      </c>
      <c r="Z106" s="51"/>
      <c r="AA106" s="51">
        <f t="shared" si="36"/>
        <v>2148.44</v>
      </c>
      <c r="AB106" s="51"/>
      <c r="AC106" s="51"/>
      <c r="AD106" s="51"/>
      <c r="AE106" s="51"/>
      <c r="AF106" s="52">
        <f>(85-76.73)*2800</f>
        <v>23156</v>
      </c>
      <c r="AG106" s="52">
        <v>34000</v>
      </c>
      <c r="AH106" s="51">
        <f>0.38*1500</f>
        <v>570</v>
      </c>
      <c r="AI106" s="51"/>
      <c r="AJ106" s="53">
        <f>Y106+AA106+AF106+AG106+AH106+AE106</f>
        <v>61842.44</v>
      </c>
      <c r="AK106" s="59">
        <f>AJ106*0.015</f>
        <v>927.64</v>
      </c>
      <c r="AL106" s="59">
        <f t="shared" si="40"/>
        <v>5508.2</v>
      </c>
      <c r="AM106" s="60">
        <v>1200</v>
      </c>
      <c r="AN106" s="59">
        <f t="shared" si="41"/>
        <v>69478.28</v>
      </c>
      <c r="AO106" s="64"/>
      <c r="AP106" s="51"/>
      <c r="AQ106" s="51"/>
    </row>
    <row r="107" s="2" customFormat="true" ht="27" spans="1:43">
      <c r="A107" s="23" t="s">
        <v>600</v>
      </c>
      <c r="B107" s="18">
        <v>104</v>
      </c>
      <c r="C107" s="19" t="s">
        <v>601</v>
      </c>
      <c r="D107" s="20" t="s">
        <v>602</v>
      </c>
      <c r="E107" s="20" t="s">
        <v>49</v>
      </c>
      <c r="F107" s="19" t="s">
        <v>50</v>
      </c>
      <c r="G107" s="30"/>
      <c r="H107" s="19" t="s">
        <v>601</v>
      </c>
      <c r="I107" s="34" t="s">
        <v>51</v>
      </c>
      <c r="J107" s="20" t="s">
        <v>603</v>
      </c>
      <c r="K107" s="35">
        <v>67.36</v>
      </c>
      <c r="L107" s="35">
        <v>6.77</v>
      </c>
      <c r="M107" s="35">
        <v>4.13</v>
      </c>
      <c r="N107" s="42">
        <v>77.71</v>
      </c>
      <c r="O107" s="42">
        <f t="shared" si="37"/>
        <v>6.22</v>
      </c>
      <c r="P107" s="35">
        <v>21555.2</v>
      </c>
      <c r="Q107" s="35">
        <v>1624.8</v>
      </c>
      <c r="R107" s="42">
        <f t="shared" si="34"/>
        <v>320</v>
      </c>
      <c r="S107" s="42" t="s">
        <v>532</v>
      </c>
      <c r="T107" s="47" t="s">
        <v>604</v>
      </c>
      <c r="U107" s="19"/>
      <c r="V107" s="27">
        <v>85.68</v>
      </c>
      <c r="W107" s="50"/>
      <c r="X107" s="27">
        <v>85.68</v>
      </c>
      <c r="Y107" s="50">
        <f t="shared" si="38"/>
        <v>1990.4</v>
      </c>
      <c r="Z107" s="51"/>
      <c r="AA107" s="51">
        <f t="shared" si="36"/>
        <v>2175.88</v>
      </c>
      <c r="AB107" s="51"/>
      <c r="AC107" s="51"/>
      <c r="AD107" s="51"/>
      <c r="AE107" s="51"/>
      <c r="AF107" s="51">
        <f>(85-77.71)*2800</f>
        <v>20412</v>
      </c>
      <c r="AG107" s="51"/>
      <c r="AH107" s="51">
        <f>0.68*1500</f>
        <v>1020</v>
      </c>
      <c r="AI107" s="51"/>
      <c r="AJ107" s="53">
        <f>AH107+AF107+AA107+Y107</f>
        <v>25598.28</v>
      </c>
      <c r="AK107" s="59">
        <f>AJ107*0.01</f>
        <v>255.98</v>
      </c>
      <c r="AL107" s="59">
        <f t="shared" si="40"/>
        <v>4948.02</v>
      </c>
      <c r="AM107" s="60">
        <v>1200</v>
      </c>
      <c r="AN107" s="59">
        <f t="shared" si="41"/>
        <v>32002.28</v>
      </c>
      <c r="AO107" s="64"/>
      <c r="AP107" s="51"/>
      <c r="AQ107" s="52"/>
    </row>
    <row r="108" s="2" customFormat="true" ht="27" spans="1:43">
      <c r="A108" s="24" t="s">
        <v>605</v>
      </c>
      <c r="B108" s="18">
        <v>105</v>
      </c>
      <c r="C108" s="19" t="s">
        <v>606</v>
      </c>
      <c r="D108" s="20" t="s">
        <v>607</v>
      </c>
      <c r="E108" s="20" t="s">
        <v>49</v>
      </c>
      <c r="F108" s="19" t="s">
        <v>50</v>
      </c>
      <c r="G108" s="26"/>
      <c r="H108" s="19" t="s">
        <v>606</v>
      </c>
      <c r="I108" s="34" t="s">
        <v>51</v>
      </c>
      <c r="J108" s="20" t="s">
        <v>608</v>
      </c>
      <c r="K108" s="35">
        <v>67.36</v>
      </c>
      <c r="L108" s="35">
        <v>6.77</v>
      </c>
      <c r="M108" s="35">
        <v>4.13</v>
      </c>
      <c r="N108" s="42">
        <v>77.71</v>
      </c>
      <c r="O108" s="42">
        <f t="shared" si="37"/>
        <v>6.22</v>
      </c>
      <c r="P108" s="35">
        <v>21555.2</v>
      </c>
      <c r="Q108" s="35">
        <v>1624.8</v>
      </c>
      <c r="R108" s="42">
        <f t="shared" si="34"/>
        <v>320</v>
      </c>
      <c r="S108" s="42" t="s">
        <v>532</v>
      </c>
      <c r="T108" s="47" t="s">
        <v>609</v>
      </c>
      <c r="U108" s="19"/>
      <c r="V108" s="26">
        <v>85.61</v>
      </c>
      <c r="W108" s="50"/>
      <c r="X108" s="26">
        <v>85.61</v>
      </c>
      <c r="Y108" s="50">
        <f t="shared" si="38"/>
        <v>1990.4</v>
      </c>
      <c r="Z108" s="52"/>
      <c r="AA108" s="51">
        <f t="shared" si="36"/>
        <v>2175.88</v>
      </c>
      <c r="AB108" s="51"/>
      <c r="AC108" s="52"/>
      <c r="AD108" s="52"/>
      <c r="AE108" s="52"/>
      <c r="AF108" s="51">
        <f>(85-77.71)*2800</f>
        <v>20412</v>
      </c>
      <c r="AG108" s="52"/>
      <c r="AH108" s="51">
        <f>0.61*1500</f>
        <v>915</v>
      </c>
      <c r="AI108" s="52"/>
      <c r="AJ108" s="53">
        <f>AH108+AF108+AA108+Y108</f>
        <v>25493.28</v>
      </c>
      <c r="AK108" s="59">
        <f>AJ108*0.01</f>
        <v>254.93</v>
      </c>
      <c r="AL108" s="59">
        <f t="shared" si="40"/>
        <v>4943.98</v>
      </c>
      <c r="AM108" s="60">
        <v>1200</v>
      </c>
      <c r="AN108" s="59">
        <f t="shared" si="41"/>
        <v>31892.19</v>
      </c>
      <c r="AO108" s="64"/>
      <c r="AP108" s="65"/>
      <c r="AQ108" s="52"/>
    </row>
    <row r="109" s="2" customFormat="true" ht="27" spans="1:43">
      <c r="A109" s="23" t="s">
        <v>610</v>
      </c>
      <c r="B109" s="18">
        <v>106</v>
      </c>
      <c r="C109" s="19" t="s">
        <v>611</v>
      </c>
      <c r="D109" s="20" t="s">
        <v>612</v>
      </c>
      <c r="E109" s="20" t="s">
        <v>76</v>
      </c>
      <c r="F109" s="19" t="s">
        <v>50</v>
      </c>
      <c r="G109" s="30"/>
      <c r="H109" s="19" t="s">
        <v>611</v>
      </c>
      <c r="I109" s="34" t="s">
        <v>51</v>
      </c>
      <c r="J109" s="20" t="s">
        <v>613</v>
      </c>
      <c r="K109" s="35">
        <v>66.55</v>
      </c>
      <c r="L109" s="30">
        <v>6.6</v>
      </c>
      <c r="M109" s="35">
        <v>4.03</v>
      </c>
      <c r="N109" s="42">
        <v>76.73</v>
      </c>
      <c r="O109" s="42">
        <f t="shared" si="37"/>
        <v>6.15</v>
      </c>
      <c r="P109" s="35">
        <v>21296</v>
      </c>
      <c r="Q109" s="35">
        <v>1440</v>
      </c>
      <c r="R109" s="42">
        <f t="shared" si="34"/>
        <v>320</v>
      </c>
      <c r="S109" s="42" t="s">
        <v>532</v>
      </c>
      <c r="T109" s="47" t="s">
        <v>614</v>
      </c>
      <c r="U109" s="19"/>
      <c r="V109" s="26">
        <v>86.21</v>
      </c>
      <c r="W109" s="50"/>
      <c r="X109" s="26">
        <v>86.21</v>
      </c>
      <c r="Y109" s="50">
        <f t="shared" si="38"/>
        <v>1968</v>
      </c>
      <c r="Z109" s="51"/>
      <c r="AA109" s="51">
        <f t="shared" si="36"/>
        <v>2148.44</v>
      </c>
      <c r="AB109" s="51"/>
      <c r="AC109" s="51"/>
      <c r="AD109" s="51"/>
      <c r="AE109" s="51"/>
      <c r="AF109" s="51">
        <f>(85-76.73)*2800</f>
        <v>23156</v>
      </c>
      <c r="AG109" s="51"/>
      <c r="AH109" s="51">
        <f>1.21*1500</f>
        <v>1815</v>
      </c>
      <c r="AI109" s="51"/>
      <c r="AJ109" s="53">
        <f>AH109+AF109+AA109+Y109</f>
        <v>29087.44</v>
      </c>
      <c r="AK109" s="59">
        <f>AJ109*0.01</f>
        <v>290.87</v>
      </c>
      <c r="AL109" s="59">
        <f t="shared" si="40"/>
        <v>4978.63</v>
      </c>
      <c r="AM109" s="60">
        <v>1200</v>
      </c>
      <c r="AN109" s="59">
        <f t="shared" si="41"/>
        <v>35556.94</v>
      </c>
      <c r="AO109" s="64"/>
      <c r="AP109" s="51"/>
      <c r="AQ109" s="51"/>
    </row>
    <row r="110" s="2" customFormat="true" ht="27" spans="1:43">
      <c r="A110" s="23" t="s">
        <v>610</v>
      </c>
      <c r="B110" s="18">
        <v>107</v>
      </c>
      <c r="C110" s="19" t="s">
        <v>615</v>
      </c>
      <c r="D110" s="20" t="s">
        <v>612</v>
      </c>
      <c r="E110" s="20" t="s">
        <v>49</v>
      </c>
      <c r="F110" s="19" t="s">
        <v>616</v>
      </c>
      <c r="G110" s="30"/>
      <c r="H110" s="19"/>
      <c r="I110" s="34"/>
      <c r="J110" s="20"/>
      <c r="K110" s="35"/>
      <c r="L110" s="30"/>
      <c r="M110" s="35"/>
      <c r="N110" s="42"/>
      <c r="O110" s="42"/>
      <c r="P110" s="35"/>
      <c r="Q110" s="35"/>
      <c r="R110" s="42"/>
      <c r="S110" s="42"/>
      <c r="T110" s="47" t="s">
        <v>617</v>
      </c>
      <c r="U110" s="19"/>
      <c r="V110" s="26">
        <v>78.57</v>
      </c>
      <c r="W110" s="50">
        <v>1.64</v>
      </c>
      <c r="X110" s="26">
        <v>76.93</v>
      </c>
      <c r="Y110" s="50"/>
      <c r="Z110" s="51"/>
      <c r="AA110" s="51"/>
      <c r="AB110" s="51">
        <v>7040</v>
      </c>
      <c r="AC110" s="51"/>
      <c r="AD110" s="51"/>
      <c r="AE110" s="51">
        <v>15000</v>
      </c>
      <c r="AF110" s="51">
        <v>28000</v>
      </c>
      <c r="AG110" s="51"/>
      <c r="AH110" s="51">
        <f>1.93*1500</f>
        <v>2895</v>
      </c>
      <c r="AI110" s="51"/>
      <c r="AJ110" s="53">
        <f>AB110+AE110+AF110+AH110</f>
        <v>52935</v>
      </c>
      <c r="AK110" s="59">
        <f>AJ110*0.01</f>
        <v>529.35</v>
      </c>
      <c r="AL110" s="59">
        <f t="shared" si="40"/>
        <v>4537.42</v>
      </c>
      <c r="AM110" s="60">
        <v>1200</v>
      </c>
      <c r="AN110" s="59">
        <f t="shared" si="41"/>
        <v>59201.77</v>
      </c>
      <c r="AO110" s="64"/>
      <c r="AP110" s="51"/>
      <c r="AQ110" s="51"/>
    </row>
    <row r="111" s="2" customFormat="true" ht="27" spans="1:43">
      <c r="A111" s="23" t="s">
        <v>610</v>
      </c>
      <c r="B111" s="18">
        <v>108</v>
      </c>
      <c r="C111" s="19" t="s">
        <v>618</v>
      </c>
      <c r="D111" s="20" t="s">
        <v>612</v>
      </c>
      <c r="E111" s="20" t="s">
        <v>49</v>
      </c>
      <c r="F111" s="19" t="s">
        <v>109</v>
      </c>
      <c r="G111" s="29" t="s">
        <v>619</v>
      </c>
      <c r="H111" s="19" t="s">
        <v>618</v>
      </c>
      <c r="I111" s="34" t="s">
        <v>51</v>
      </c>
      <c r="J111" s="20" t="s">
        <v>620</v>
      </c>
      <c r="K111" s="35">
        <v>41.76</v>
      </c>
      <c r="L111" s="30"/>
      <c r="M111" s="35"/>
      <c r="N111" s="42">
        <v>45.62</v>
      </c>
      <c r="O111" s="42">
        <v>3.86</v>
      </c>
      <c r="P111" s="35">
        <v>10022.4</v>
      </c>
      <c r="Q111" s="35"/>
      <c r="R111" s="42">
        <v>240</v>
      </c>
      <c r="S111" s="42"/>
      <c r="T111" s="47" t="s">
        <v>621</v>
      </c>
      <c r="U111" s="19"/>
      <c r="V111" s="26">
        <v>76.76</v>
      </c>
      <c r="W111" s="50"/>
      <c r="X111" s="26">
        <v>76.76</v>
      </c>
      <c r="Y111" s="50">
        <f>R111*O111</f>
        <v>926.4</v>
      </c>
      <c r="Z111" s="51"/>
      <c r="AA111" s="51">
        <f>55*28</f>
        <v>1540</v>
      </c>
      <c r="AB111" s="51"/>
      <c r="AC111" s="51"/>
      <c r="AD111" s="51"/>
      <c r="AE111" s="51">
        <v>15000</v>
      </c>
      <c r="AF111" s="51"/>
      <c r="AG111" s="51"/>
      <c r="AH111" s="51">
        <f>1.76*1500</f>
        <v>2640</v>
      </c>
      <c r="AI111" s="51">
        <v>15000</v>
      </c>
      <c r="AJ111" s="53">
        <f>Y111+AA111+AE111+AF111+AG111+AH111+AI111</f>
        <v>35106.4</v>
      </c>
      <c r="AK111" s="59">
        <f t="shared" ref="AK111" si="42">AJ111*0.01</f>
        <v>351.06</v>
      </c>
      <c r="AL111" s="59">
        <f t="shared" si="40"/>
        <v>4432.89</v>
      </c>
      <c r="AM111" s="60">
        <v>1200</v>
      </c>
      <c r="AN111" s="59">
        <f t="shared" ref="AN111" si="43">SUM(AJ111:AM111)</f>
        <v>41090.35</v>
      </c>
      <c r="AO111" s="64">
        <f t="shared" ref="AO111" si="44">L111*1942.33</f>
        <v>0</v>
      </c>
      <c r="AP111" s="51"/>
      <c r="AQ111" s="51"/>
    </row>
    <row r="112" s="2" customFormat="true" ht="27" spans="1:43">
      <c r="A112" s="23" t="s">
        <v>610</v>
      </c>
      <c r="B112" s="18">
        <v>109</v>
      </c>
      <c r="C112" s="19" t="s">
        <v>622</v>
      </c>
      <c r="D112" s="20" t="s">
        <v>612</v>
      </c>
      <c r="E112" s="20" t="s">
        <v>49</v>
      </c>
      <c r="F112" s="19" t="s">
        <v>109</v>
      </c>
      <c r="G112" s="29" t="s">
        <v>623</v>
      </c>
      <c r="H112" s="19" t="s">
        <v>622</v>
      </c>
      <c r="I112" s="34" t="s">
        <v>51</v>
      </c>
      <c r="J112" s="75">
        <v>1800258</v>
      </c>
      <c r="K112" s="35">
        <v>60.84</v>
      </c>
      <c r="L112" s="30"/>
      <c r="M112" s="35"/>
      <c r="N112" s="42">
        <v>66.46</v>
      </c>
      <c r="O112" s="42">
        <v>5.62</v>
      </c>
      <c r="P112" s="35">
        <v>14601.6</v>
      </c>
      <c r="Q112" s="35"/>
      <c r="R112" s="42">
        <v>240</v>
      </c>
      <c r="S112" s="42"/>
      <c r="T112" s="47" t="s">
        <v>624</v>
      </c>
      <c r="U112" s="19"/>
      <c r="V112" s="26">
        <v>85.37</v>
      </c>
      <c r="W112" s="50"/>
      <c r="X112" s="26">
        <v>85.37</v>
      </c>
      <c r="Y112" s="50">
        <f>R112*O112</f>
        <v>1348.8</v>
      </c>
      <c r="Z112" s="51"/>
      <c r="AA112" s="51">
        <f>66.46*28</f>
        <v>1860.88</v>
      </c>
      <c r="AB112" s="51"/>
      <c r="AC112" s="51"/>
      <c r="AD112" s="51"/>
      <c r="AE112" s="51">
        <f>(75-66.46)*1500</f>
        <v>12810</v>
      </c>
      <c r="AF112" s="51"/>
      <c r="AG112" s="51"/>
      <c r="AH112" s="51">
        <f>0.37*1500</f>
        <v>555</v>
      </c>
      <c r="AI112" s="51">
        <v>15000</v>
      </c>
      <c r="AJ112" s="53">
        <f>Y112+AA112+AE112+AF112+AG112+AH112+AI112</f>
        <v>31574.68</v>
      </c>
      <c r="AK112" s="59">
        <f t="shared" ref="AK112" si="45">AJ112*0.01</f>
        <v>315.75</v>
      </c>
      <c r="AL112" s="59">
        <f t="shared" ref="AL112" si="46">V112*1155*0.05</f>
        <v>4930.12</v>
      </c>
      <c r="AM112" s="60">
        <v>1200</v>
      </c>
      <c r="AN112" s="59">
        <f t="shared" ref="AN112" si="47">SUM(AJ112:AM112)</f>
        <v>38020.55</v>
      </c>
      <c r="AO112" s="64">
        <f t="shared" ref="AO112" si="48">L112*1942.33</f>
        <v>0</v>
      </c>
      <c r="AP112" s="51"/>
      <c r="AQ112" s="51"/>
    </row>
    <row r="113" spans="3:43">
      <c r="C113" s="5" t="s">
        <v>625</v>
      </c>
      <c r="T113" s="5"/>
      <c r="U113" s="5"/>
      <c r="AQ113" s="5"/>
    </row>
    <row r="114" spans="3:43">
      <c r="C114" s="5" t="s">
        <v>626</v>
      </c>
      <c r="T114" s="5"/>
      <c r="U114" s="5"/>
      <c r="AQ114" s="5"/>
    </row>
  </sheetData>
  <sheetProtection formatCells="0" insertHyperlinks="0" autoFilter="0"/>
  <autoFilter ref="A3:AQ114">
    <sortState ref="A3:AQ114">
      <sortCondition ref="S3"/>
    </sortState>
    <extLst>
      <etc:autoFilterAnalysis etc:version="v1" etc:showPane="0">
        <etc:analysisCharts>
          <etc:chart etc:type="pie">
            <etc:category etc:colId="-1"/>
            <etc:seriesCollections etc:count="1">
              <etc:series etc:colId="21" etc:subtotal="sum"/>
            </etc:seriesCollections>
          </etc:chart>
        </etc:analysisCharts>
      </etc:autoFilterAnalysis>
    </extLst>
  </autoFilter>
  <dataValidations count="4">
    <dataValidation type="list" allowBlank="1" showInputMessage="1" showErrorMessage="1" sqref="F4:F71 F73:F86 F88:F112">
      <formula1>"原户主,分户,合并"</formula1>
    </dataValidation>
    <dataValidation type="list" allowBlank="1" showInputMessage="1" showErrorMessage="1" sqref="E4:E112">
      <formula1>"职工,职工家属(配偶),居民,居(移)民队,外来人员"</formula1>
    </dataValidation>
    <dataValidation type="textLength" operator="between" allowBlank="1" showInputMessage="1" showErrorMessage="1" error="请输入二代身份证18位数。" prompt="请输入二代身份证18位数。" sqref="D107:D112">
      <formula1>18</formula1>
      <formula2>18</formula2>
    </dataValidation>
    <dataValidation allowBlank="1" showErrorMessage="1" sqref="B1 E1 G1 R1 C2 A3:C3 E3 Z46:AA46 AC46:AI46 Y47:AI47 AC48:AJ48 F72 F87 D1:D3 F1:F3 G3:G5 G78:G1048576 T113:T1048576 Y34:Y46 AC52:AC53 AJ6:AJ47 AJ49:AJ77 AQ1:AQ38 AQ40:AQ69 AQ71:AQ93 AQ96:AQ1048576 P113:Q1048576 H113:M1048576 A113:F1048576 AB78:AJ92 U93:AJ1048576 AB56:AI77 Y48:AA92 AD52:AI55 AB49:AI51 AB54:AC55 Q2:R3 AK$1:AP$1048576 U6:X92 L1:M2 S1:T3 N1:P3 U1:AJ5 AC34:AI36 Z34:AA36 Y6:AI33 Z37:AI45 H1:K3 N4:O1048576 R4:S1048576 AR$1:XFD$1048576 A4:B112" errorStyle="information"/>
  </dataValidations>
  <pageMargins left="0.236111111111111" right="0.401388888888889" top="0.747916666666667" bottom="0.747916666666667" header="0.314583333333333" footer="0.314583333333333"/>
  <pageSetup paperSize="8" scale="65" fitToHeight="11" orientation="landscape" verticalDpi="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WWO_aliyun_20201019112421-9bb9c296e6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邱裕荃</cp:lastModifiedBy>
  <dcterms:created xsi:type="dcterms:W3CDTF">2006-09-15T03:21:00Z</dcterms:created>
  <cp:lastPrinted>2022-02-07T14:49:00Z</cp:lastPrinted>
  <dcterms:modified xsi:type="dcterms:W3CDTF">2022-11-15T15:05:50Z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9814042740424AB09F08C67B76219A79</vt:lpwstr>
  </property>
</Properties>
</file>